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adria\Downloads\"/>
    </mc:Choice>
  </mc:AlternateContent>
  <xr:revisionPtr revIDLastSave="0" documentId="13_ncr:1_{5E597DCD-165C-4725-9F21-43DE5742A5CD}" xr6:coauthVersionLast="47" xr6:coauthVersionMax="47" xr10:uidLastSave="{00000000-0000-0000-0000-000000000000}"/>
  <bookViews>
    <workbookView xWindow="-120" yWindow="-120" windowWidth="24240" windowHeight="13140" xr2:uid="{00000000-000D-0000-FFFF-FFFF00000000}"/>
  </bookViews>
  <sheets>
    <sheet name="General Data Sheet" sheetId="14" r:id="rId1"/>
    <sheet name="Pro forma" sheetId="3" r:id="rId2"/>
    <sheet name="Projected Capital Expenditures" sheetId="10" r:id="rId3"/>
    <sheet name="Generation" sheetId="7" r:id="rId4"/>
    <sheet name="LBMP" sheetId="8" r:id="rId5"/>
    <sheet name="Allocated Costs" sheetId="13" r:id="rId6"/>
    <sheet name="Award Cap Calculations" sheetId="16" r:id="rId7"/>
    <sheet name="Weighted Cost of Captial" sheetId="17" r:id="rId8"/>
    <sheet name="Capacity Revenues" sheetId="18" r:id="rId9"/>
    <sheet name="BCA Update-ICAP Price" sheetId="19" r:id="rId10"/>
  </sheets>
  <definedNames>
    <definedName name="_ftn1" localSheetId="1">'Pro forma'!#REF!</definedName>
    <definedName name="_ftnref1" localSheetId="1">'Pro forma'!$L$72</definedName>
    <definedName name="infl">#REF!</definedName>
    <definedName name="_xlnm.Print_Area" localSheetId="0">'General Data Sheet'!$A$1:$V$62</definedName>
    <definedName name="_xlnm.Print_Area" localSheetId="3">Generation!$A$8:$K$28</definedName>
    <definedName name="_xlnm.Print_Area" localSheetId="1">'Pro forma'!$A$1:$AB$79</definedName>
    <definedName name="_xlnm.Print_Area" localSheetId="2">'Projected Capital Expenditures'!$A$1:$L$29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8" l="1"/>
  <c r="F30" i="8"/>
  <c r="E30" i="8"/>
  <c r="D30" i="8"/>
  <c r="H30" i="8"/>
  <c r="I30" i="8"/>
  <c r="J30" i="8"/>
  <c r="K30" i="8"/>
  <c r="L30" i="8"/>
  <c r="M30" i="8"/>
  <c r="N30" i="8"/>
  <c r="K15" i="18" l="1"/>
  <c r="K16" i="18" s="1"/>
  <c r="K17" i="18" s="1"/>
  <c r="K18" i="18" s="1"/>
  <c r="K19" i="18" s="1"/>
  <c r="K20" i="18" s="1"/>
  <c r="K21" i="18" s="1"/>
  <c r="K22" i="18" s="1"/>
  <c r="K23" i="18" s="1"/>
  <c r="K24" i="18" s="1"/>
  <c r="K25" i="18" s="1"/>
  <c r="K26" i="18" s="1"/>
  <c r="K27" i="18" s="1"/>
  <c r="K28" i="18" s="1"/>
  <c r="K29" i="18" s="1"/>
  <c r="K30" i="18" s="1"/>
  <c r="K31" i="18" s="1"/>
  <c r="K32" i="18" s="1"/>
  <c r="K33" i="18" s="1"/>
  <c r="K34" i="18" s="1"/>
  <c r="C15" i="18"/>
  <c r="C16" i="18" s="1"/>
  <c r="C17" i="18" s="1"/>
  <c r="C18" i="18" s="1"/>
  <c r="C19" i="18" s="1"/>
  <c r="C20" i="18" s="1"/>
  <c r="C21" i="18" s="1"/>
  <c r="C22" i="18" s="1"/>
  <c r="C23" i="18" s="1"/>
  <c r="C24" i="18" s="1"/>
  <c r="C25" i="18" s="1"/>
  <c r="C26" i="18" s="1"/>
  <c r="C27" i="18" s="1"/>
  <c r="C28" i="18" s="1"/>
  <c r="C29" i="18" s="1"/>
  <c r="C30" i="18" s="1"/>
  <c r="C31" i="18" s="1"/>
  <c r="C32" i="18" s="1"/>
  <c r="C33" i="18" s="1"/>
  <c r="C34" i="18" s="1"/>
  <c r="F47" i="8" l="1"/>
  <c r="E47" i="8"/>
  <c r="F13" i="3" l="1"/>
  <c r="G24" i="10"/>
  <c r="H24" i="10" s="1"/>
  <c r="H66" i="3"/>
  <c r="H65" i="3"/>
  <c r="H64" i="3"/>
  <c r="H63" i="3"/>
  <c r="H62" i="3"/>
  <c r="H61" i="3"/>
  <c r="H60" i="3"/>
  <c r="H59" i="3"/>
  <c r="H58" i="3"/>
  <c r="H57" i="3"/>
  <c r="H56" i="3"/>
  <c r="H55" i="3"/>
  <c r="H54" i="3"/>
  <c r="H53" i="3"/>
  <c r="H52" i="3"/>
  <c r="H51" i="3"/>
  <c r="H47" i="3"/>
  <c r="H46" i="3"/>
  <c r="H45" i="3"/>
  <c r="H44" i="3"/>
  <c r="H43" i="3"/>
  <c r="H42" i="3"/>
  <c r="H41" i="3"/>
  <c r="H40" i="3"/>
  <c r="H38" i="3"/>
  <c r="H37" i="3"/>
  <c r="H36" i="3"/>
  <c r="H35" i="3"/>
  <c r="H34" i="3"/>
  <c r="H33" i="3"/>
  <c r="E5" i="3"/>
  <c r="E4" i="3"/>
  <c r="E1" i="8" l="1"/>
  <c r="E3" i="17"/>
  <c r="E2" i="8"/>
  <c r="E4" i="17"/>
  <c r="G13" i="3"/>
  <c r="E39" i="8"/>
  <c r="E8" i="18"/>
  <c r="V19" i="18" s="1"/>
  <c r="F39" i="8" l="1"/>
  <c r="U19" i="18"/>
  <c r="T19" i="18"/>
  <c r="N12" i="19" l="1"/>
  <c r="E7" i="19"/>
  <c r="N14" i="19" s="1"/>
  <c r="E6" i="19"/>
  <c r="E4" i="19"/>
  <c r="E5" i="19" s="1"/>
  <c r="A4" i="19"/>
  <c r="E3" i="19"/>
  <c r="E2" i="19"/>
  <c r="E1" i="19"/>
  <c r="N13" i="19" l="1"/>
  <c r="N15" i="19" s="1"/>
  <c r="O14" i="19"/>
  <c r="P14" i="19"/>
  <c r="E7" i="3"/>
  <c r="E4" i="8" l="1"/>
  <c r="E6" i="17"/>
  <c r="E3" i="18"/>
  <c r="E7" i="18"/>
  <c r="U15" i="18" s="1"/>
  <c r="V15" i="18" l="1"/>
  <c r="T15" i="18"/>
  <c r="E4" i="18"/>
  <c r="E5" i="18" s="1"/>
  <c r="T14" i="18" s="1"/>
  <c r="A4" i="18"/>
  <c r="E6" i="18"/>
  <c r="E2" i="18"/>
  <c r="E1" i="18"/>
  <c r="T18" i="18" l="1"/>
  <c r="T20" i="18" s="1"/>
  <c r="T16" i="18"/>
  <c r="T22" i="18" l="1"/>
  <c r="P22" i="3" s="1"/>
  <c r="S79" i="19"/>
  <c r="H14" i="17" l="1"/>
  <c r="H13" i="17"/>
  <c r="J13" i="17" s="1"/>
  <c r="D15" i="17"/>
  <c r="E7" i="17"/>
  <c r="J15" i="17" l="1"/>
  <c r="F28" i="10" s="1"/>
  <c r="H15" i="17"/>
  <c r="J40" i="17" l="1"/>
  <c r="J32" i="17"/>
  <c r="D39" i="8" l="1"/>
  <c r="D33" i="8" l="1"/>
  <c r="F40" i="8" l="1"/>
  <c r="F41" i="8" s="1"/>
  <c r="E56" i="8"/>
  <c r="F56" i="8"/>
  <c r="E40" i="8"/>
  <c r="E41" i="8" s="1"/>
  <c r="D56" i="8"/>
  <c r="D40" i="8"/>
  <c r="E46" i="13"/>
  <c r="M64" i="3"/>
  <c r="O64" i="3" s="1"/>
  <c r="P64" i="3" s="1"/>
  <c r="D5" i="13"/>
  <c r="W23" i="3"/>
  <c r="W20" i="3"/>
  <c r="W19" i="3"/>
  <c r="W17" i="3"/>
  <c r="W16" i="3"/>
  <c r="T23" i="3"/>
  <c r="T20" i="3"/>
  <c r="T19" i="3"/>
  <c r="T17" i="3"/>
  <c r="T16" i="3"/>
  <c r="Q23" i="3"/>
  <c r="Q22" i="3"/>
  <c r="Q20" i="3"/>
  <c r="Q19" i="3"/>
  <c r="Q17" i="3"/>
  <c r="Q16" i="3"/>
  <c r="E67" i="3"/>
  <c r="E8" i="3"/>
  <c r="Q81" i="3" s="1"/>
  <c r="G56" i="8" l="1"/>
  <c r="Q64" i="3"/>
  <c r="R64" i="3" s="1"/>
  <c r="G40" i="8"/>
  <c r="G67" i="3"/>
  <c r="G69" i="3" s="1"/>
  <c r="G75" i="3" s="1"/>
  <c r="F67" i="3"/>
  <c r="F69" i="3" s="1"/>
  <c r="F75" i="3" s="1"/>
  <c r="E69" i="3"/>
  <c r="E75" i="3" s="1"/>
  <c r="S64" i="3" l="1"/>
  <c r="T64" i="3" s="1"/>
  <c r="U64" i="3" s="1"/>
  <c r="D47" i="8"/>
  <c r="O72" i="3"/>
  <c r="P72" i="3" s="1"/>
  <c r="O71" i="3"/>
  <c r="P71" i="3" s="1"/>
  <c r="M59" i="3"/>
  <c r="O59" i="3" s="1"/>
  <c r="I12" i="10"/>
  <c r="P25" i="3"/>
  <c r="L65" i="3"/>
  <c r="M65" i="3" s="1"/>
  <c r="H32" i="3"/>
  <c r="M32" i="3" s="1"/>
  <c r="H48" i="3"/>
  <c r="H50" i="3"/>
  <c r="H21" i="3"/>
  <c r="M21" i="3" s="1"/>
  <c r="H22" i="3"/>
  <c r="M22" i="3" s="1"/>
  <c r="H23" i="3"/>
  <c r="M23" i="3" s="1"/>
  <c r="H24" i="3"/>
  <c r="M24" i="3" s="1"/>
  <c r="L25" i="3"/>
  <c r="L28" i="3" s="1"/>
  <c r="J25" i="3"/>
  <c r="J28" i="3" s="1"/>
  <c r="F25" i="3"/>
  <c r="F28" i="3" s="1"/>
  <c r="F77" i="3" s="1"/>
  <c r="G25" i="3"/>
  <c r="G28" i="3" s="1"/>
  <c r="E25" i="3"/>
  <c r="E28" i="3" s="1"/>
  <c r="E77" i="3" s="1"/>
  <c r="H27" i="3"/>
  <c r="M27" i="3" s="1"/>
  <c r="O27" i="3" s="1"/>
  <c r="R13" i="3"/>
  <c r="L11" i="7"/>
  <c r="L12" i="7"/>
  <c r="L13" i="7"/>
  <c r="L14" i="7"/>
  <c r="L15" i="7"/>
  <c r="L16" i="7"/>
  <c r="L17" i="7"/>
  <c r="L18" i="7"/>
  <c r="L19" i="7"/>
  <c r="L20" i="7"/>
  <c r="L21" i="7"/>
  <c r="L10" i="7"/>
  <c r="K23" i="7"/>
  <c r="G15" i="3" s="1"/>
  <c r="G17" i="3" s="1"/>
  <c r="I23" i="7"/>
  <c r="E15" i="3" s="1"/>
  <c r="E17" i="3" s="1"/>
  <c r="B23" i="7"/>
  <c r="C23" i="7"/>
  <c r="D23" i="7"/>
  <c r="E23" i="7"/>
  <c r="F23" i="7"/>
  <c r="G23" i="7"/>
  <c r="H23" i="7"/>
  <c r="J23" i="7"/>
  <c r="F15" i="3" s="1"/>
  <c r="F17" i="3" s="1"/>
  <c r="E19" i="10"/>
  <c r="F25" i="10" s="1"/>
  <c r="G16" i="10"/>
  <c r="G17" i="10"/>
  <c r="G18" i="10"/>
  <c r="G28" i="10"/>
  <c r="H28" i="10"/>
  <c r="E4" i="10"/>
  <c r="E2" i="10"/>
  <c r="E1" i="10"/>
  <c r="E2" i="7"/>
  <c r="E4" i="7"/>
  <c r="E1" i="7"/>
  <c r="U13" i="3" l="1"/>
  <c r="O12" i="19"/>
  <c r="O13" i="19" s="1"/>
  <c r="O15" i="19" s="1"/>
  <c r="T81" i="3"/>
  <c r="F28" i="7"/>
  <c r="R24" i="3"/>
  <c r="T24" i="3" s="1"/>
  <c r="O24" i="3"/>
  <c r="Q24" i="3" s="1"/>
  <c r="U24" i="3"/>
  <c r="W24" i="3" s="1"/>
  <c r="G20" i="10"/>
  <c r="O74" i="3" s="1"/>
  <c r="Q74" i="3" s="1"/>
  <c r="R74" i="3" s="1"/>
  <c r="L23" i="7"/>
  <c r="F27" i="7" s="1"/>
  <c r="V64" i="3"/>
  <c r="W64" i="3" s="1"/>
  <c r="Q27" i="3"/>
  <c r="R27" i="3" s="1"/>
  <c r="T27" i="3" s="1"/>
  <c r="M33" i="3"/>
  <c r="O33" i="3" s="1"/>
  <c r="M44" i="3"/>
  <c r="O44" i="3" s="1"/>
  <c r="P44" i="3" s="1"/>
  <c r="Q44" i="3" s="1"/>
  <c r="R44" i="3" s="1"/>
  <c r="M55" i="3"/>
  <c r="O55" i="3" s="1"/>
  <c r="P55" i="3" s="1"/>
  <c r="Q55" i="3" s="1"/>
  <c r="R55" i="3" s="1"/>
  <c r="M42" i="3"/>
  <c r="O42" i="3" s="1"/>
  <c r="P42" i="3" s="1"/>
  <c r="Q42" i="3" s="1"/>
  <c r="R42" i="3" s="1"/>
  <c r="M34" i="3"/>
  <c r="O34" i="3" s="1"/>
  <c r="P34" i="3" s="1"/>
  <c r="Q34" i="3" s="1"/>
  <c r="R34" i="3" s="1"/>
  <c r="M40" i="3"/>
  <c r="O40" i="3" s="1"/>
  <c r="P40" i="3" s="1"/>
  <c r="M45" i="3"/>
  <c r="O45" i="3" s="1"/>
  <c r="P45" i="3" s="1"/>
  <c r="Q45" i="3" s="1"/>
  <c r="R45" i="3" s="1"/>
  <c r="M52" i="3"/>
  <c r="O52" i="3" s="1"/>
  <c r="P52" i="3" s="1"/>
  <c r="M37" i="3"/>
  <c r="O37" i="3" s="1"/>
  <c r="P37" i="3" s="1"/>
  <c r="Q37" i="3" s="1"/>
  <c r="R37" i="3" s="1"/>
  <c r="M35" i="3"/>
  <c r="O35" i="3" s="1"/>
  <c r="P35" i="3" s="1"/>
  <c r="Q35" i="3" s="1"/>
  <c r="R35" i="3" s="1"/>
  <c r="M46" i="3"/>
  <c r="O46" i="3" s="1"/>
  <c r="J53" i="3"/>
  <c r="J67" i="3" s="1"/>
  <c r="J69" i="3" s="1"/>
  <c r="J75" i="3" s="1"/>
  <c r="M57" i="3"/>
  <c r="O57" i="3" s="1"/>
  <c r="P57" i="3" s="1"/>
  <c r="Q57" i="3" s="1"/>
  <c r="R57" i="3" s="1"/>
  <c r="S57" i="3" s="1"/>
  <c r="T57" i="3" s="1"/>
  <c r="U57" i="3" s="1"/>
  <c r="G39" i="8"/>
  <c r="G41" i="8" s="1"/>
  <c r="D48" i="8" s="1"/>
  <c r="E48" i="8" s="1"/>
  <c r="D41" i="8"/>
  <c r="M50" i="3"/>
  <c r="O50" i="3" s="1"/>
  <c r="P50" i="3" s="1"/>
  <c r="Q50" i="3" s="1"/>
  <c r="R50" i="3" s="1"/>
  <c r="M47" i="3"/>
  <c r="O47" i="3" s="1"/>
  <c r="P47" i="3" s="1"/>
  <c r="Q47" i="3" s="1"/>
  <c r="R47" i="3" s="1"/>
  <c r="M58" i="3"/>
  <c r="O58" i="3" s="1"/>
  <c r="G47" i="8"/>
  <c r="M48" i="3"/>
  <c r="O48" i="3" s="1"/>
  <c r="P48" i="3" s="1"/>
  <c r="Q48" i="3" s="1"/>
  <c r="R48" i="3" s="1"/>
  <c r="M62" i="3"/>
  <c r="O62" i="3" s="1"/>
  <c r="P62" i="3" s="1"/>
  <c r="Q62" i="3" s="1"/>
  <c r="R62" i="3" s="1"/>
  <c r="M51" i="3"/>
  <c r="O51" i="3" s="1"/>
  <c r="P51" i="3" s="1"/>
  <c r="Q51" i="3" s="1"/>
  <c r="R51" i="3" s="1"/>
  <c r="M38" i="3"/>
  <c r="O38" i="3" s="1"/>
  <c r="P38" i="3" s="1"/>
  <c r="Q38" i="3" s="1"/>
  <c r="R38" i="3" s="1"/>
  <c r="M56" i="3"/>
  <c r="O56" i="3" s="1"/>
  <c r="P56" i="3" s="1"/>
  <c r="Q56" i="3" s="1"/>
  <c r="R56" i="3" s="1"/>
  <c r="M54" i="3"/>
  <c r="O54" i="3" s="1"/>
  <c r="M43" i="3"/>
  <c r="O43" i="3" s="1"/>
  <c r="M41" i="3"/>
  <c r="O41" i="3" s="1"/>
  <c r="M36" i="3"/>
  <c r="O36" i="3" s="1"/>
  <c r="P36" i="3" s="1"/>
  <c r="Q36" i="3" s="1"/>
  <c r="R36" i="3" s="1"/>
  <c r="L66" i="3"/>
  <c r="M66" i="3" s="1"/>
  <c r="O66" i="3" s="1"/>
  <c r="M63" i="3"/>
  <c r="O63" i="3" s="1"/>
  <c r="M61" i="3"/>
  <c r="O61" i="3" s="1"/>
  <c r="P61" i="3" s="1"/>
  <c r="Q61" i="3" s="1"/>
  <c r="R61" i="3" s="1"/>
  <c r="M60" i="3"/>
  <c r="O60" i="3" s="1"/>
  <c r="P60" i="3" s="1"/>
  <c r="Q60" i="3" s="1"/>
  <c r="R60" i="3" s="1"/>
  <c r="H28" i="3"/>
  <c r="G77" i="3"/>
  <c r="H25" i="3"/>
  <c r="O32" i="3"/>
  <c r="H67" i="3"/>
  <c r="H69" i="3" s="1"/>
  <c r="H75" i="3" s="1"/>
  <c r="H15" i="3"/>
  <c r="M15" i="3" s="1"/>
  <c r="Q72" i="3"/>
  <c r="R72" i="3" s="1"/>
  <c r="S72" i="3" s="1"/>
  <c r="T72" i="3" s="1"/>
  <c r="U72" i="3" s="1"/>
  <c r="M25" i="3"/>
  <c r="M28" i="3" s="1"/>
  <c r="O65" i="3"/>
  <c r="P59" i="3"/>
  <c r="Q59" i="3" s="1"/>
  <c r="R59" i="3" s="1"/>
  <c r="Q71" i="3"/>
  <c r="R71" i="3" s="1"/>
  <c r="F48" i="8" l="1"/>
  <c r="F49" i="8" s="1"/>
  <c r="E49" i="8"/>
  <c r="F26" i="10"/>
  <c r="G25" i="10" s="1"/>
  <c r="G26" i="10" s="1"/>
  <c r="H25" i="10" s="1"/>
  <c r="P12" i="19"/>
  <c r="P13" i="19" s="1"/>
  <c r="P15" i="19" s="1"/>
  <c r="W81" i="3"/>
  <c r="U18" i="18"/>
  <c r="U20" i="18" s="1"/>
  <c r="U14" i="18"/>
  <c r="U16" i="18" s="1"/>
  <c r="F29" i="7"/>
  <c r="O15" i="3" s="1"/>
  <c r="U15" i="3" s="1"/>
  <c r="W15" i="3" s="1"/>
  <c r="D49" i="8"/>
  <c r="O18" i="3" s="1"/>
  <c r="M53" i="3"/>
  <c r="O53" i="3" s="1"/>
  <c r="P53" i="3" s="1"/>
  <c r="P58" i="3"/>
  <c r="Q58" i="3" s="1"/>
  <c r="R58" i="3" s="1"/>
  <c r="S58" i="3" s="1"/>
  <c r="T58" i="3" s="1"/>
  <c r="U58" i="3" s="1"/>
  <c r="L67" i="3"/>
  <c r="L69" i="3" s="1"/>
  <c r="L75" i="3" s="1"/>
  <c r="L77" i="3" s="1"/>
  <c r="P46" i="3"/>
  <c r="Q46" i="3" s="1"/>
  <c r="R46" i="3" s="1"/>
  <c r="S46" i="3" s="1"/>
  <c r="T46" i="3" s="1"/>
  <c r="U46" i="3" s="1"/>
  <c r="V46" i="3" s="1"/>
  <c r="W46" i="3" s="1"/>
  <c r="P33" i="3"/>
  <c r="Q33" i="3" s="1"/>
  <c r="R33" i="3" s="1"/>
  <c r="S33" i="3" s="1"/>
  <c r="T33" i="3" s="1"/>
  <c r="U33" i="3" s="1"/>
  <c r="Q40" i="3"/>
  <c r="R40" i="3" s="1"/>
  <c r="S40" i="3" s="1"/>
  <c r="T40" i="3" s="1"/>
  <c r="U40" i="3" s="1"/>
  <c r="Q52" i="3"/>
  <c r="R52" i="3" s="1"/>
  <c r="S52" i="3" s="1"/>
  <c r="T52" i="3" s="1"/>
  <c r="U52" i="3" s="1"/>
  <c r="P54" i="3"/>
  <c r="Q54" i="3" s="1"/>
  <c r="R54" i="3" s="1"/>
  <c r="S54" i="3" s="1"/>
  <c r="T54" i="3" s="1"/>
  <c r="U54" i="3" s="1"/>
  <c r="P43" i="3"/>
  <c r="Q43" i="3" s="1"/>
  <c r="R43" i="3" s="1"/>
  <c r="S43" i="3" s="1"/>
  <c r="T43" i="3" s="1"/>
  <c r="U43" i="3" s="1"/>
  <c r="P41" i="3"/>
  <c r="Q41" i="3" s="1"/>
  <c r="R41" i="3" s="1"/>
  <c r="S41" i="3" s="1"/>
  <c r="T41" i="3" s="1"/>
  <c r="U41" i="3" s="1"/>
  <c r="H77" i="3"/>
  <c r="H79" i="3" s="1"/>
  <c r="P63" i="3"/>
  <c r="Q63" i="3" s="1"/>
  <c r="R63" i="3" s="1"/>
  <c r="S63" i="3" s="1"/>
  <c r="T63" i="3" s="1"/>
  <c r="U63" i="3" s="1"/>
  <c r="J77" i="3"/>
  <c r="P28" i="3"/>
  <c r="V72" i="3"/>
  <c r="W72" i="3" s="1"/>
  <c r="S35" i="3"/>
  <c r="T35" i="3" s="1"/>
  <c r="U35" i="3" s="1"/>
  <c r="S38" i="3"/>
  <c r="T38" i="3" s="1"/>
  <c r="U38" i="3" s="1"/>
  <c r="V57" i="3"/>
  <c r="W57" i="3" s="1"/>
  <c r="S60" i="3"/>
  <c r="T60" i="3" s="1"/>
  <c r="U60" i="3" s="1"/>
  <c r="S61" i="3"/>
  <c r="T61" i="3" s="1"/>
  <c r="U61" i="3" s="1"/>
  <c r="S34" i="3"/>
  <c r="T34" i="3" s="1"/>
  <c r="U34" i="3" s="1"/>
  <c r="S47" i="3"/>
  <c r="T47" i="3" s="1"/>
  <c r="U47" i="3" s="1"/>
  <c r="S56" i="3"/>
  <c r="T56" i="3" s="1"/>
  <c r="U56" i="3" s="1"/>
  <c r="S36" i="3"/>
  <c r="T36" i="3" s="1"/>
  <c r="U36" i="3" s="1"/>
  <c r="S62" i="3"/>
  <c r="T62" i="3" s="1"/>
  <c r="U62" i="3" s="1"/>
  <c r="S59" i="3"/>
  <c r="T59" i="3" s="1"/>
  <c r="U59" i="3" s="1"/>
  <c r="S51" i="3"/>
  <c r="T51" i="3" s="1"/>
  <c r="U51" i="3" s="1"/>
  <c r="S37" i="3"/>
  <c r="T37" i="3" s="1"/>
  <c r="U37" i="3" s="1"/>
  <c r="S45" i="3"/>
  <c r="T45" i="3" s="1"/>
  <c r="U45" i="3" s="1"/>
  <c r="P65" i="3"/>
  <c r="Q65" i="3" s="1"/>
  <c r="R65" i="3" s="1"/>
  <c r="S44" i="3"/>
  <c r="T44" i="3" s="1"/>
  <c r="U44" i="3" s="1"/>
  <c r="S50" i="3"/>
  <c r="T50" i="3" s="1"/>
  <c r="U50" i="3" s="1"/>
  <c r="S42" i="3"/>
  <c r="T42" i="3" s="1"/>
  <c r="U42" i="3" s="1"/>
  <c r="S48" i="3"/>
  <c r="T48" i="3" s="1"/>
  <c r="U48" i="3" s="1"/>
  <c r="T74" i="3"/>
  <c r="U74" i="3" s="1"/>
  <c r="S55" i="3"/>
  <c r="T55" i="3" s="1"/>
  <c r="U55" i="3" s="1"/>
  <c r="S71" i="3"/>
  <c r="T71" i="3" s="1"/>
  <c r="U71" i="3" s="1"/>
  <c r="P66" i="3"/>
  <c r="Q66" i="3" s="1"/>
  <c r="R66" i="3" s="1"/>
  <c r="P32" i="3"/>
  <c r="F27" i="10" l="1"/>
  <c r="F29" i="10" s="1"/>
  <c r="R15" i="3"/>
  <c r="T15" i="3" s="1"/>
  <c r="U22" i="18"/>
  <c r="S22" i="3" s="1"/>
  <c r="T22" i="3" s="1"/>
  <c r="O21" i="3"/>
  <c r="Q15" i="3"/>
  <c r="V18" i="18"/>
  <c r="V20" i="18" s="1"/>
  <c r="V14" i="18"/>
  <c r="V16" i="18" s="1"/>
  <c r="H26" i="10"/>
  <c r="H27" i="10" s="1"/>
  <c r="H29" i="10" s="1"/>
  <c r="G27" i="10"/>
  <c r="G29" i="10" s="1"/>
  <c r="O67" i="3"/>
  <c r="O68" i="3" s="1"/>
  <c r="O69" i="3" s="1"/>
  <c r="Q53" i="3"/>
  <c r="R53" i="3" s="1"/>
  <c r="S53" i="3" s="1"/>
  <c r="T53" i="3" s="1"/>
  <c r="U53" i="3" s="1"/>
  <c r="V53" i="3" s="1"/>
  <c r="W53" i="3" s="1"/>
  <c r="M67" i="3"/>
  <c r="M69" i="3" s="1"/>
  <c r="M75" i="3" s="1"/>
  <c r="M77" i="3" s="1"/>
  <c r="M79" i="3" s="1"/>
  <c r="R18" i="3"/>
  <c r="T18" i="3" s="1"/>
  <c r="Q18" i="3"/>
  <c r="P67" i="3"/>
  <c r="V54" i="3"/>
  <c r="W54" i="3" s="1"/>
  <c r="V48" i="3"/>
  <c r="W48" i="3" s="1"/>
  <c r="V50" i="3"/>
  <c r="W50" i="3" s="1"/>
  <c r="V41" i="3"/>
  <c r="W41" i="3" s="1"/>
  <c r="V44" i="3"/>
  <c r="W44" i="3" s="1"/>
  <c r="V40" i="3"/>
  <c r="W40" i="3" s="1"/>
  <c r="V55" i="3"/>
  <c r="W55" i="3" s="1"/>
  <c r="V43" i="3"/>
  <c r="W43" i="3" s="1"/>
  <c r="V71" i="3"/>
  <c r="W71" i="3" s="1"/>
  <c r="V63" i="3"/>
  <c r="W63" i="3" s="1"/>
  <c r="S65" i="3"/>
  <c r="T65" i="3" s="1"/>
  <c r="U65" i="3" s="1"/>
  <c r="V37" i="3"/>
  <c r="W37" i="3" s="1"/>
  <c r="V51" i="3"/>
  <c r="W51" i="3" s="1"/>
  <c r="V52" i="3"/>
  <c r="W52" i="3" s="1"/>
  <c r="V36" i="3"/>
  <c r="W36" i="3" s="1"/>
  <c r="V47" i="3"/>
  <c r="W47" i="3" s="1"/>
  <c r="V61" i="3"/>
  <c r="W61" i="3" s="1"/>
  <c r="V38" i="3"/>
  <c r="W38" i="3" s="1"/>
  <c r="W74" i="3"/>
  <c r="V45" i="3"/>
  <c r="W45" i="3" s="1"/>
  <c r="S66" i="3"/>
  <c r="T66" i="3" s="1"/>
  <c r="U66" i="3" s="1"/>
  <c r="V59" i="3"/>
  <c r="W59" i="3" s="1"/>
  <c r="V58" i="3"/>
  <c r="W58" i="3" s="1"/>
  <c r="V62" i="3"/>
  <c r="W62" i="3" s="1"/>
  <c r="V33" i="3"/>
  <c r="W33" i="3" s="1"/>
  <c r="V56" i="3"/>
  <c r="W56" i="3" s="1"/>
  <c r="V34" i="3"/>
  <c r="W34" i="3" s="1"/>
  <c r="V60" i="3"/>
  <c r="W60" i="3" s="1"/>
  <c r="Q32" i="3"/>
  <c r="V42" i="3"/>
  <c r="W42" i="3" s="1"/>
  <c r="V35" i="3"/>
  <c r="W35" i="3" s="1"/>
  <c r="S25" i="3" l="1"/>
  <c r="S28" i="3" s="1"/>
  <c r="V22" i="18"/>
  <c r="V22" i="3" s="1"/>
  <c r="Q67" i="3"/>
  <c r="Q68" i="3" s="1"/>
  <c r="Q69" i="3" s="1"/>
  <c r="I29" i="10"/>
  <c r="O73" i="3" s="1"/>
  <c r="Q73" i="3" s="1"/>
  <c r="R73" i="3" s="1"/>
  <c r="T73" i="3" s="1"/>
  <c r="G49" i="8"/>
  <c r="G48" i="8"/>
  <c r="R21" i="3"/>
  <c r="R25" i="3" s="1"/>
  <c r="R28" i="3" s="1"/>
  <c r="O25" i="3"/>
  <c r="O28" i="3" s="1"/>
  <c r="Q21" i="3"/>
  <c r="Q25" i="3" s="1"/>
  <c r="Q28" i="3" s="1"/>
  <c r="U27" i="3"/>
  <c r="P68" i="3"/>
  <c r="P69" i="3" s="1"/>
  <c r="P75" i="3" s="1"/>
  <c r="V65" i="3"/>
  <c r="W65" i="3" s="1"/>
  <c r="V66" i="3"/>
  <c r="W66" i="3" s="1"/>
  <c r="R32" i="3"/>
  <c r="R67" i="3" s="1"/>
  <c r="R68" i="3" s="1"/>
  <c r="W22" i="3" l="1"/>
  <c r="V25" i="3"/>
  <c r="O75" i="3"/>
  <c r="O77" i="3" s="1"/>
  <c r="U18" i="3"/>
  <c r="T21" i="3"/>
  <c r="T25" i="3" s="1"/>
  <c r="T28" i="3" s="1"/>
  <c r="V27" i="3"/>
  <c r="Q75" i="3"/>
  <c r="Q77" i="3" s="1"/>
  <c r="P77" i="3"/>
  <c r="U73" i="3"/>
  <c r="R69" i="3"/>
  <c r="S32" i="3"/>
  <c r="T32" i="3" s="1"/>
  <c r="T67" i="3" s="1"/>
  <c r="V28" i="3" l="1"/>
  <c r="Q79" i="3"/>
  <c r="Q83" i="3" s="1"/>
  <c r="W27" i="3"/>
  <c r="U21" i="3"/>
  <c r="W18" i="3"/>
  <c r="R75" i="3"/>
  <c r="R77" i="3" s="1"/>
  <c r="T68" i="3"/>
  <c r="T69" i="3" s="1"/>
  <c r="T75" i="3" s="1"/>
  <c r="S67" i="3"/>
  <c r="U32" i="3"/>
  <c r="U67" i="3" s="1"/>
  <c r="U25" i="3" l="1"/>
  <c r="U28" i="3" s="1"/>
  <c r="W21" i="3"/>
  <c r="W25" i="3" s="1"/>
  <c r="W28" i="3" s="1"/>
  <c r="W73" i="3"/>
  <c r="S68" i="3"/>
  <c r="S69" i="3" s="1"/>
  <c r="U68" i="3"/>
  <c r="U69" i="3" s="1"/>
  <c r="U75" i="3" s="1"/>
  <c r="T77" i="3"/>
  <c r="T79" i="3" s="1"/>
  <c r="T83" i="3" s="1"/>
  <c r="V32" i="3"/>
  <c r="S75" i="3" l="1"/>
  <c r="S77" i="3" s="1"/>
  <c r="V67" i="3"/>
  <c r="U77" i="3"/>
  <c r="W32" i="3"/>
  <c r="V68" i="3" l="1"/>
  <c r="V69" i="3" s="1"/>
  <c r="W67" i="3"/>
  <c r="V75" i="3" l="1"/>
  <c r="V77" i="3" s="1"/>
  <c r="W68" i="3"/>
  <c r="W69" i="3" l="1"/>
  <c r="W75" i="3" l="1"/>
  <c r="W77" i="3" s="1"/>
  <c r="W79" i="3" l="1"/>
  <c r="W83" i="3" l="1"/>
  <c r="X83" i="3" s="1"/>
  <c r="E6" i="3" s="1"/>
  <c r="E3" i="8" l="1"/>
  <c r="E5" i="17"/>
  <c r="E3" i="7"/>
  <c r="E3" i="10"/>
</calcChain>
</file>

<file path=xl/sharedStrings.xml><?xml version="1.0" encoding="utf-8"?>
<sst xmlns="http://schemas.openxmlformats.org/spreadsheetml/2006/main" count="414" uniqueCount="275">
  <si>
    <t>January</t>
  </si>
  <si>
    <t>February</t>
  </si>
  <si>
    <t>March</t>
  </si>
  <si>
    <t>April</t>
  </si>
  <si>
    <t>May</t>
  </si>
  <si>
    <t>June</t>
  </si>
  <si>
    <t>July</t>
  </si>
  <si>
    <t>August</t>
  </si>
  <si>
    <t>September</t>
  </si>
  <si>
    <t>October</t>
  </si>
  <si>
    <t>November</t>
  </si>
  <si>
    <t>December</t>
  </si>
  <si>
    <t>Total Income</t>
  </si>
  <si>
    <t>Expense</t>
  </si>
  <si>
    <t>Total Expense</t>
  </si>
  <si>
    <t>Other Income</t>
  </si>
  <si>
    <t>Net Income</t>
  </si>
  <si>
    <t>Total</t>
  </si>
  <si>
    <t>Generation (MWh)</t>
  </si>
  <si>
    <t>Historical</t>
  </si>
  <si>
    <t>Projected</t>
  </si>
  <si>
    <t>Project</t>
  </si>
  <si>
    <t>Cost</t>
  </si>
  <si>
    <t>Implied maintenance REC required</t>
  </si>
  <si>
    <t>Average</t>
  </si>
  <si>
    <t>Notes:</t>
  </si>
  <si>
    <t xml:space="preserve">Annualized costs </t>
  </si>
  <si>
    <t>Total cost</t>
  </si>
  <si>
    <t>Useful life</t>
  </si>
  <si>
    <t>Maintenance Tier Application for:</t>
  </si>
  <si>
    <t>XYZ Hydro</t>
  </si>
  <si>
    <t>Application Date</t>
  </si>
  <si>
    <t>Maintenance Tier Support Requested ($/MWh)</t>
  </si>
  <si>
    <t xml:space="preserve">Historic Period - 12 months ended </t>
  </si>
  <si>
    <t>Staff Adjustment</t>
  </si>
  <si>
    <t>AVERAGE</t>
  </si>
  <si>
    <t>Incremental Generation from Proposed Capital Improvements</t>
  </si>
  <si>
    <t>Projected Useful Life</t>
  </si>
  <si>
    <t>Description</t>
  </si>
  <si>
    <t>Incremental Generation Resulting from Projected Capitla Expenditure (MWh)</t>
  </si>
  <si>
    <t>Internal or External Cost</t>
  </si>
  <si>
    <t>Work Timeframe</t>
  </si>
  <si>
    <t>Essential to Maintain Operation</t>
  </si>
  <si>
    <t>Completion Date</t>
  </si>
  <si>
    <t>Projected Capital Expenditures</t>
  </si>
  <si>
    <t>Average Capital Balance</t>
  </si>
  <si>
    <t>Capital Expenditures Balance Beginning of Year</t>
  </si>
  <si>
    <t>Capital Expenditures Balance End of Year</t>
  </si>
  <si>
    <t>Total Capital Expenditures</t>
  </si>
  <si>
    <t>Total Incremental Annual Straightline Depreciation</t>
  </si>
  <si>
    <t>Proxy Rate of Return*</t>
  </si>
  <si>
    <t>*  The Proxy Rate of Return will be updated annually by the DPS Staff</t>
  </si>
  <si>
    <t>Return on Projected Capital Expenditures</t>
  </si>
  <si>
    <t>Return Used For Award</t>
  </si>
  <si>
    <t>Fuel</t>
  </si>
  <si>
    <t>Repairs and Maintenance</t>
  </si>
  <si>
    <t>Supplies and Equipment</t>
  </si>
  <si>
    <t>Transmission Charges</t>
  </si>
  <si>
    <t>Environmental, Health and Safety</t>
  </si>
  <si>
    <t>Testing Requirements</t>
  </si>
  <si>
    <t>Registrations, Fee and Permits</t>
  </si>
  <si>
    <t>Compensation and Benefits Expense:</t>
  </si>
  <si>
    <t>Direct Labor Salaries and Wages</t>
  </si>
  <si>
    <t>Allocated Service Company Labor Salaries and Wages (Direct Invoiced)</t>
  </si>
  <si>
    <t>Contracted Labor Salaries and Wages</t>
  </si>
  <si>
    <t>Overtime</t>
  </si>
  <si>
    <t>Incentive Compensation</t>
  </si>
  <si>
    <t>Payroll Taxes</t>
  </si>
  <si>
    <t>Worker’s Compensation</t>
  </si>
  <si>
    <t>Health Insurance</t>
  </si>
  <si>
    <t xml:space="preserve">Pension  </t>
  </si>
  <si>
    <t>General Administrative Expenses:</t>
  </si>
  <si>
    <t>Administrative Service Fees</t>
  </si>
  <si>
    <t>Postage and Shipping Charges</t>
  </si>
  <si>
    <t>Legal Fees</t>
  </si>
  <si>
    <t>Bank Service Charges</t>
  </si>
  <si>
    <t>Government Relations</t>
  </si>
  <si>
    <t>Utilities (Telephone, Electricity)</t>
  </si>
  <si>
    <t>Insurance</t>
  </si>
  <si>
    <t>Travel</t>
  </si>
  <si>
    <t>Property Taxes (School and County)</t>
  </si>
  <si>
    <t>Office Equipment, Software and Internet</t>
  </si>
  <si>
    <t>Office Expenses</t>
  </si>
  <si>
    <t>Advertising</t>
  </si>
  <si>
    <t>Dues and Subscriptions</t>
  </si>
  <si>
    <t>Going Forward Capital Expenditures</t>
  </si>
  <si>
    <t>Depreciation on New Cap Ex Only</t>
  </si>
  <si>
    <t>Capacity and Ancillary Service Revenues</t>
  </si>
  <si>
    <t>Voluntary REC sales</t>
  </si>
  <si>
    <t>NYSERDA REC Contract</t>
  </si>
  <si>
    <t>West</t>
  </si>
  <si>
    <t>Genesee</t>
  </si>
  <si>
    <t>Central</t>
  </si>
  <si>
    <t>North</t>
  </si>
  <si>
    <t>Mohawk Valley</t>
  </si>
  <si>
    <t>Capital</t>
  </si>
  <si>
    <t>Hudson Valley</t>
  </si>
  <si>
    <t>Millwood</t>
  </si>
  <si>
    <t>Dunwoodie</t>
  </si>
  <si>
    <t>Long Island</t>
  </si>
  <si>
    <t>New York City</t>
  </si>
  <si>
    <t>Average LBMP ($/MWh)</t>
  </si>
  <si>
    <t>NYISO Zone</t>
  </si>
  <si>
    <t>Energy Sales Revenues</t>
  </si>
  <si>
    <t>Average Historic Price</t>
  </si>
  <si>
    <t xml:space="preserve">  Total Revenue</t>
  </si>
  <si>
    <t>Normalizing Adjustments</t>
  </si>
  <si>
    <t>To Go Cost Adjustments</t>
  </si>
  <si>
    <t>Adjusted Average</t>
  </si>
  <si>
    <t xml:space="preserve">Revenue </t>
  </si>
  <si>
    <t>Professional Services</t>
  </si>
  <si>
    <t>Depreciation</t>
  </si>
  <si>
    <t>Interest Expense</t>
  </si>
  <si>
    <t>Expenses are inflated using the ORE Calculator, using historical and forecasted GDP price index from the sources that the Commission authorized to use in rate proceedings.</t>
  </si>
  <si>
    <t>For this period the Calculator returns an annual inflation factor of</t>
  </si>
  <si>
    <t>Allocated InterCompany Charges</t>
  </si>
  <si>
    <t>Contengency Adder (@5% of O&amp;M)</t>
  </si>
  <si>
    <t>Subtotal - Operations and Maintenance Costs</t>
  </si>
  <si>
    <t>Subtotal - O&amp;M Plus Contingency</t>
  </si>
  <si>
    <t>At which level is the facility connected?</t>
  </si>
  <si>
    <t>Contract Price to be Paid</t>
  </si>
  <si>
    <t>Is the facility compensated by the NYISO or a Utility?</t>
  </si>
  <si>
    <t>NYISO Reference Bus associated with the facility</t>
  </si>
  <si>
    <t>RTD End Time Stamp</t>
  </si>
  <si>
    <t>Gen Name</t>
  </si>
  <si>
    <t>Gen PTID</t>
  </si>
  <si>
    <t>RTD Gen LBMP</t>
  </si>
  <si>
    <t>RTD Gen Losses</t>
  </si>
  <si>
    <t>RTD Gen Congestion</t>
  </si>
  <si>
    <t>RTD Gen Price Version</t>
  </si>
  <si>
    <t>Enter the combine Property/School Taxes  paid on the facility for the most recent tax year</t>
  </si>
  <si>
    <t>Identify all action taken to reduce this obligation and the associated impact of those actions.</t>
  </si>
  <si>
    <t>Average Annual Reference Bus Price</t>
  </si>
  <si>
    <t>Historic CARIS Zonal Price</t>
  </si>
  <si>
    <t>Report NYISO Zone</t>
  </si>
  <si>
    <t>Historic Average Annual Reference Price</t>
  </si>
  <si>
    <t>Variance Between Historic Reference Bus Price and Historic CARIS Forecast Price</t>
  </si>
  <si>
    <t>Variance (% of CARIS Forecast Price)</t>
  </si>
  <si>
    <t>Adjusted CARIS Forecast Based on the Variance Between Historic Reference Bus Price and Historic CARIS Forecast Price</t>
  </si>
  <si>
    <t>Forecasted CARIS Zonal Price</t>
  </si>
  <si>
    <t>Historic Variance Percentage</t>
  </si>
  <si>
    <t>Adjusted Historical</t>
  </si>
  <si>
    <t>Average Annual CES Tier 2 Support</t>
  </si>
  <si>
    <t>Enter Data</t>
  </si>
  <si>
    <t>Calculation</t>
  </si>
  <si>
    <t>If the facility is compensated by the NYISO, or using an ISO reference price price, complete the information below:</t>
  </si>
  <si>
    <t>If the facility is compensated under a contract with a utility  at a defined $/MWh price, complete the table below:</t>
  </si>
  <si>
    <t>Adjusted CARIS Forecast Price</t>
  </si>
  <si>
    <t>ENTER REQUIRED DATA BELOW</t>
  </si>
  <si>
    <t>To be Completed by Applicant</t>
  </si>
  <si>
    <t>ALLOCATED COSTS</t>
  </si>
  <si>
    <t>Other</t>
  </si>
  <si>
    <t>Amount</t>
  </si>
  <si>
    <t>Allocation Methodology</t>
  </si>
  <si>
    <t>Total Allocated Expenses</t>
  </si>
  <si>
    <r>
      <rPr>
        <sz val="11"/>
        <color theme="1"/>
        <rFont val="Calibri"/>
        <family val="2"/>
        <scheme val="minor"/>
      </rPr>
      <t>Category of Cost Being Allocated</t>
    </r>
  </si>
  <si>
    <t>Salaries and Wages</t>
  </si>
  <si>
    <t xml:space="preserve">Contracted Labor </t>
  </si>
  <si>
    <t>Office Equipment</t>
  </si>
  <si>
    <t>Calculate and enter below the resulting average annual Reference Bus Price from the NYISO data entered below</t>
  </si>
  <si>
    <t>If the facility compensated by a utility, is it compensated under a contract price or an NYISO reference bus price?</t>
  </si>
  <si>
    <t>Contract Price</t>
  </si>
  <si>
    <t xml:space="preserve">Historic compensation paid according to </t>
  </si>
  <si>
    <t>DO NOT EDIT</t>
  </si>
  <si>
    <t>If facility is compensated under a contract, use contract price for "Revenue" calculation</t>
  </si>
  <si>
    <t>If facility is compensated an NYISO Reference Bus price:</t>
  </si>
  <si>
    <t>If facility is compensated under a utility contract:</t>
  </si>
  <si>
    <t>Forecasted Energy Price</t>
  </si>
  <si>
    <t>Select from Drop Down</t>
  </si>
  <si>
    <t>Return On Projected Capital Expenditure</t>
  </si>
  <si>
    <t>Incremental Generation Resulting from Projected Capital Expenditure (MWh)</t>
  </si>
  <si>
    <t>Forecasted Annual Generation</t>
  </si>
  <si>
    <r>
      <t xml:space="preserve">In this table, indicate the level of expense, for each specific expense item, that was allocated from the parent or an affiliated company.  For each item of allocated expense please indicate the nature/catergory of the cost being allocated and the methodology used to determine the allocation to the applicant.  </t>
    </r>
    <r>
      <rPr>
        <i/>
        <sz val="12"/>
        <color rgb="FFFF0000"/>
        <rFont val="Calibri"/>
        <family val="2"/>
        <scheme val="minor"/>
      </rPr>
      <t>This table is not automatically linked to the "Pro Forma" tab.  Staff will review the reported allocated costs and propose adjustments if  necessary.</t>
    </r>
  </si>
  <si>
    <t>Enter below the actual NYISO OASIS Search results.  (Note: there should be approximately 105,000 intervals for each complete calendar year.)</t>
  </si>
  <si>
    <t>Debt Service/Return on Investment - New Cap Ex Only</t>
  </si>
  <si>
    <t xml:space="preserve">This data represents the historical Real-Time LBMP paid at the reported generator bus.  This data is used as part of the calculation of an adjusted CARIS energy price used to calculate forecasted energy revenues. </t>
  </si>
  <si>
    <t>Long Term Debt</t>
  </si>
  <si>
    <t>Common Equity</t>
  </si>
  <si>
    <t>Cost Rate</t>
  </si>
  <si>
    <t>Effective Tax Rate</t>
  </si>
  <si>
    <t>ILLUSTRATIVE WEIGHTED COST OF CAPITAL MODEL *</t>
  </si>
  <si>
    <t>https://www.nyserda.ny.gov/All-Programs/Programs/Clean-Energy-Standard/Renewable-Portfolio-Standard/Past-Main-Tier-Solicitations</t>
  </si>
  <si>
    <t>Weighted Average Price of a New Renewable Entrant</t>
  </si>
  <si>
    <t>Most Recent Solicitation</t>
  </si>
  <si>
    <t>RPS 11th Solicitation</t>
  </si>
  <si>
    <t>Award Cap</t>
  </si>
  <si>
    <t>Recommended Award</t>
  </si>
  <si>
    <t xml:space="preserve">* This model is designed to developed a generic utility capital structure and will be updated on an annual basis. </t>
  </si>
  <si>
    <t>Annual Capacity Prices ($/kW-year, 2017 $)</t>
  </si>
  <si>
    <t>NYC</t>
  </si>
  <si>
    <t>Lower Hudson Valley</t>
  </si>
  <si>
    <t>Rest-of-State</t>
  </si>
  <si>
    <t>From Staff's Aug 15, 2017 BCA Update, filed in Case 14-M-0101 "ICAP Price" tab.</t>
  </si>
  <si>
    <t>Nameplate Capacity (MW)</t>
  </si>
  <si>
    <t>ICAP Zone</t>
  </si>
  <si>
    <t>UCAP (MW)</t>
  </si>
  <si>
    <t>Annual Capacity Price ($/kW)</t>
  </si>
  <si>
    <t>Annual Capacity Revenues</t>
  </si>
  <si>
    <t>Facilty Name</t>
  </si>
  <si>
    <t>Facility Location</t>
  </si>
  <si>
    <t>Commeriacl Operation Date</t>
  </si>
  <si>
    <t>Did the facility generate and deliver its output into the NYCA during 2014?</t>
  </si>
  <si>
    <t>Number of MWh generated and delivered into the NYCA in 2014</t>
  </si>
  <si>
    <t>Type of Eligible Technology</t>
  </si>
  <si>
    <t>10-year historic average production</t>
  </si>
  <si>
    <t>Does the facility operate as part of a fleet of units</t>
  </si>
  <si>
    <t>NYISO PTID</t>
  </si>
  <si>
    <t>If yes, indicate the NYISO group name</t>
  </si>
  <si>
    <t>Is the factility under contract to sell its output?</t>
  </si>
  <si>
    <t>If yes, indicate the contractual party</t>
  </si>
  <si>
    <t>Summer Capacity Prices ($/kW-month 2017 $)</t>
  </si>
  <si>
    <t>Winter Capacity Prices ($/kW-month 2017 $)</t>
  </si>
  <si>
    <t>Summer Capacity Price ($/kW)</t>
  </si>
  <si>
    <t>Winter Capacity Price ($/kW)</t>
  </si>
  <si>
    <t>Summer Capacity Revenues</t>
  </si>
  <si>
    <t>Summer UCAP Rating (MW)</t>
  </si>
  <si>
    <t>Winter UCAP Rating (MW)</t>
  </si>
  <si>
    <t>Summer UCAP (MW)</t>
  </si>
  <si>
    <t>Winter UCAP (MW)</t>
  </si>
  <si>
    <t>This sheet is used to gather data about the facility and its historic energy price information.  Changing the data points, or selecting different "drop-down" option will impact the output of the model.</t>
  </si>
  <si>
    <r>
      <t xml:space="preserve">This sheet is the calculation of the pro forma income statement that will be used to determine if a Tier 2 (Maintenance) need exists.  This sheet begins with income and expense data that will be completed by the applicant.   The income and expense items list reflect the typical items reflected in previous maintenance tier applications received by the Commission; an actual applicants items may vary.  The entered data </t>
    </r>
    <r>
      <rPr>
        <sz val="14"/>
        <color rgb="FFFF0000"/>
        <rFont val="Calibri"/>
        <family val="2"/>
        <scheme val="minor"/>
      </rPr>
      <t>will be</t>
    </r>
    <r>
      <rPr>
        <b/>
        <sz val="14"/>
        <color rgb="FFFF0000"/>
        <rFont val="Calibri"/>
        <family val="2"/>
        <scheme val="minor"/>
      </rPr>
      <t xml:space="preserve"> adjusted based on the data and information provided on the "General Data Sheet" tab.</t>
    </r>
  </si>
  <si>
    <t>Adjusted 2021</t>
  </si>
  <si>
    <t>Federal Tax Rate</t>
  </si>
  <si>
    <t>State Tax Rate</t>
  </si>
  <si>
    <r>
      <rPr>
        <vertAlign val="superscript"/>
        <sz val="11"/>
        <rFont val="Calibri"/>
        <family val="2"/>
      </rPr>
      <t>1</t>
    </r>
    <r>
      <rPr>
        <sz val="11"/>
        <rFont val="Calibri"/>
        <family val="2"/>
      </rPr>
      <t>Average authorized capitalization ratios per recent Commission orders.</t>
    </r>
  </si>
  <si>
    <r>
      <rPr>
        <vertAlign val="superscript"/>
        <sz val="11"/>
        <rFont val="Calibri"/>
        <family val="2"/>
      </rPr>
      <t xml:space="preserve">2 </t>
    </r>
    <r>
      <rPr>
        <sz val="11"/>
        <rFont val="Calibri"/>
        <family val="2"/>
      </rPr>
      <t>6 Month Average Cost of Debt (see LTD Tab)</t>
    </r>
  </si>
  <si>
    <r>
      <rPr>
        <vertAlign val="superscript"/>
        <sz val="11"/>
        <rFont val="Calibri"/>
        <family val="2"/>
      </rPr>
      <t xml:space="preserve">3 </t>
    </r>
    <r>
      <rPr>
        <sz val="11"/>
        <rFont val="Calibri"/>
        <family val="2"/>
      </rPr>
      <t>Nominal rate of return (ROR / EEPS Discount Rate):</t>
    </r>
  </si>
  <si>
    <r>
      <rPr>
        <vertAlign val="superscript"/>
        <sz val="11"/>
        <rFont val="Calibri"/>
        <family val="2"/>
      </rPr>
      <t xml:space="preserve">5 </t>
    </r>
    <r>
      <rPr>
        <sz val="11"/>
        <rFont val="Calibri"/>
        <family val="2"/>
      </rPr>
      <t>Proxy Group Return on Equity (ROE)</t>
    </r>
  </si>
  <si>
    <t xml:space="preserve">Real Discount Rate Calculation </t>
  </si>
  <si>
    <t>Real discount rate  =  [(1+WACC)/(1+.LRIR)]-1 =</t>
  </si>
  <si>
    <t>RPS Discount Rate:</t>
  </si>
  <si>
    <r>
      <t>Capitalization Ratio</t>
    </r>
    <r>
      <rPr>
        <vertAlign val="superscript"/>
        <sz val="11"/>
        <rFont val="Calibri"/>
        <family val="2"/>
      </rPr>
      <t>1</t>
    </r>
  </si>
  <si>
    <t>Weighted After Tax Cost Of Capital</t>
  </si>
  <si>
    <t>Pre-Tax Weighted Cost *</t>
  </si>
  <si>
    <t>6, 7</t>
  </si>
  <si>
    <t>Solicitation Year</t>
  </si>
  <si>
    <t>REC Price Cap is the weighted average REC price from the most recently announced CES Tier 1 solicitation</t>
  </si>
  <si>
    <t>Enter below the historic 5-minute interval Real-Time Price paid at the Reference Bus listed above  ($/MWh) for for the entire historic period.  This data may be obtained from the NYISO Market and Operations database found at:</t>
  </si>
  <si>
    <t>Update February 2020</t>
  </si>
  <si>
    <t>2023</t>
  </si>
  <si>
    <t>2019</t>
  </si>
  <si>
    <t>2020</t>
  </si>
  <si>
    <t>2021</t>
  </si>
  <si>
    <t>2022</t>
  </si>
  <si>
    <t>2024</t>
  </si>
  <si>
    <t>2025</t>
  </si>
  <si>
    <t>2026</t>
  </si>
  <si>
    <t>Adjusted 2022</t>
  </si>
  <si>
    <t>Adjusted 2023</t>
  </si>
  <si>
    <t>Average Historic Generation (2011 - 2020)</t>
  </si>
  <si>
    <t>CARIS 2019 Forecast</t>
  </si>
  <si>
    <t>2019-2028</t>
  </si>
  <si>
    <t>Appendix E-Fgure 53: Projected Zonal LBMP $/MWh (2018-2036) by Zone</t>
  </si>
  <si>
    <t>(As of January 2021  and based on a multiple rate year agreements)</t>
  </si>
  <si>
    <t>https://www.nyiso.com/custom-reports</t>
  </si>
  <si>
    <t>ICAP Monthly Forecast Prices, based on the 2020 Goldbook</t>
  </si>
  <si>
    <t>updated from Staff 3/22/21</t>
  </si>
  <si>
    <t>NYISO Reference Bus Price</t>
  </si>
  <si>
    <t>Yes</t>
  </si>
  <si>
    <t>Zone A</t>
  </si>
  <si>
    <t>Zone B</t>
  </si>
  <si>
    <t>Zone C</t>
  </si>
  <si>
    <t>Zone D</t>
  </si>
  <si>
    <t>Zone E</t>
  </si>
  <si>
    <t>Zone F</t>
  </si>
  <si>
    <t>Zone G</t>
  </si>
  <si>
    <t>Zone H</t>
  </si>
  <si>
    <t>Zone I</t>
  </si>
  <si>
    <t>Zone J</t>
  </si>
  <si>
    <t>Zone K</t>
  </si>
  <si>
    <r>
      <t xml:space="preserve">INDEX REC - ZONAL FORECAST -per </t>
    </r>
    <r>
      <rPr>
        <b/>
        <i/>
        <sz val="11"/>
        <color theme="1"/>
        <rFont val="Calibri"/>
        <family val="2"/>
        <scheme val="minor"/>
      </rPr>
      <t>"Index REC Price by Zone-Tier 2 Maintenance RECs(March 2021)v2.xlsx"</t>
    </r>
  </si>
  <si>
    <t xml:space="preserve">Central </t>
  </si>
  <si>
    <r>
      <rPr>
        <vertAlign val="superscript"/>
        <sz val="11"/>
        <rFont val="Calibri"/>
        <family val="2"/>
      </rPr>
      <t xml:space="preserve">7 </t>
    </r>
    <r>
      <rPr>
        <sz val="11"/>
        <rFont val="Calibri"/>
        <family val="2"/>
      </rPr>
      <t xml:space="preserve"> Adjustment to remove the impact of inflation.</t>
    </r>
  </si>
  <si>
    <r>
      <rPr>
        <vertAlign val="superscript"/>
        <sz val="11"/>
        <rFont val="Calibri"/>
        <family val="2"/>
      </rPr>
      <t xml:space="preserve">4 </t>
    </r>
    <r>
      <rPr>
        <sz val="11"/>
        <rFont val="Calibri"/>
        <family val="2"/>
      </rPr>
      <t>Long-run inflation rate (see inflation projection below)</t>
    </r>
  </si>
  <si>
    <r>
      <rPr>
        <vertAlign val="superscript"/>
        <sz val="11"/>
        <rFont val="Calibri"/>
        <family val="2"/>
      </rPr>
      <t xml:space="preserve">6  </t>
    </r>
    <r>
      <rPr>
        <sz val="11"/>
        <rFont val="Calibri"/>
        <family val="2"/>
      </rPr>
      <t>Gross-up for Taxes reflects an updated 21% Federal Income rate and 7.25% State Income Tax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</si>
</sst>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00"/>
    <numFmt numFmtId="165" formatCode="_(&quot;$&quot;* #,##0_);_(&quot;$&quot;* \(#,##0\);_(&quot;$&quot;* &quot;-&quot;??_);_(@_)"/>
    <numFmt numFmtId="166" formatCode="_(* #,##0.0_);_(* \(#,##0.0\);_(* &quot;-&quot;??_);_(@_)"/>
    <numFmt numFmtId="167" formatCode="_(* #,##0_);_(* \(#,##0\);_(* &quot;-&quot;??_);_(@_)"/>
    <numFmt numFmtId="168" formatCode="0.0%"/>
    <numFmt numFmtId="169" formatCode="&quot;$&quot;#,##0.00"/>
    <numFmt numFmtId="170" formatCode="&quot;$&quot;#,##0"/>
    <numFmt numFmtId="171" formatCode="0.0"/>
    <numFmt numFmtId="172" formatCode="0.000%"/>
    <numFmt numFmtId="173" formatCode="0.000_);[Red]\(0.000\)"/>
  </numFmts>
  <fonts count="71" x14ac:knownFonts="1">
    <font>
      <sz val="11"/>
      <color theme="1"/>
      <name val="Calibri"/>
      <family val="2"/>
      <scheme val="minor"/>
    </font>
    <font>
      <sz val="11"/>
      <color theme="1"/>
      <name val="Calibri"/>
      <family val="2"/>
      <scheme val="minor"/>
    </font>
    <font>
      <sz val="10"/>
      <color theme="1"/>
      <name val="Calibri"/>
      <family val="2"/>
      <scheme val="minor"/>
    </font>
    <font>
      <b/>
      <sz val="8"/>
      <color rgb="FF323232"/>
      <name val="Arial"/>
      <family val="2"/>
    </font>
    <font>
      <b/>
      <u/>
      <sz val="11"/>
      <color theme="1"/>
      <name val="Calibri"/>
      <family val="2"/>
      <scheme val="minor"/>
    </font>
    <font>
      <sz val="10"/>
      <name val="Arial"/>
      <family val="2"/>
    </font>
    <font>
      <b/>
      <sz val="10"/>
      <name val="Verdana"/>
      <family val="2"/>
    </font>
    <font>
      <sz val="10"/>
      <name val="Verdana"/>
      <family val="2"/>
    </font>
    <font>
      <sz val="10"/>
      <color theme="1"/>
      <name val="Verdana"/>
      <family val="2"/>
    </font>
    <font>
      <b/>
      <sz val="11"/>
      <color theme="1"/>
      <name val="Calibri"/>
      <family val="2"/>
      <scheme val="minor"/>
    </font>
    <font>
      <b/>
      <sz val="12"/>
      <color rgb="FF000000"/>
      <name val="Calibri"/>
      <family val="1"/>
      <charset val="1"/>
      <scheme val="minor"/>
    </font>
    <font>
      <sz val="12"/>
      <color rgb="FF000000"/>
      <name val="Calibri"/>
      <family val="1"/>
      <charset val="1"/>
      <scheme val="minor"/>
    </font>
    <font>
      <sz val="12"/>
      <color theme="1"/>
      <name val="Calibri"/>
      <family val="1"/>
      <charset val="1"/>
      <scheme val="minor"/>
    </font>
    <font>
      <b/>
      <sz val="16"/>
      <color theme="1"/>
      <name val="Calibri"/>
      <family val="2"/>
      <scheme val="minor"/>
    </font>
    <font>
      <sz val="12"/>
      <color rgb="FF000000"/>
      <name val="Calibri"/>
      <family val="2"/>
      <scheme val="minor"/>
    </font>
    <font>
      <sz val="12"/>
      <color theme="1"/>
      <name val="Calibri"/>
      <family val="2"/>
      <scheme val="minor"/>
    </font>
    <font>
      <i/>
      <sz val="11"/>
      <color theme="1"/>
      <name val="Calibri"/>
      <family val="2"/>
      <scheme val="minor"/>
    </font>
    <font>
      <sz val="11"/>
      <color theme="1"/>
      <name val="Times New Roman"/>
      <family val="1"/>
    </font>
    <font>
      <i/>
      <sz val="11"/>
      <color theme="1"/>
      <name val="Times New Roman"/>
      <family val="1"/>
    </font>
    <font>
      <u/>
      <sz val="11"/>
      <color theme="1"/>
      <name val="Times New Roman"/>
      <family val="1"/>
    </font>
    <font>
      <b/>
      <sz val="10"/>
      <color rgb="FF323232"/>
      <name val="Arial"/>
      <family val="2"/>
    </font>
    <font>
      <sz val="10"/>
      <color theme="1"/>
      <name val="Arial"/>
      <family val="2"/>
    </font>
    <font>
      <sz val="10"/>
      <color rgb="FFFF0000"/>
      <name val="Arial"/>
      <family val="2"/>
    </font>
    <font>
      <sz val="10"/>
      <color rgb="FF323232"/>
      <name val="Arial"/>
      <family val="2"/>
    </font>
    <font>
      <u/>
      <sz val="10"/>
      <color theme="1"/>
      <name val="Arial"/>
      <family val="2"/>
    </font>
    <font>
      <sz val="11"/>
      <color theme="1"/>
      <name val="Arial"/>
      <family val="2"/>
    </font>
    <font>
      <b/>
      <sz val="10"/>
      <color theme="1"/>
      <name val="Arial"/>
      <family val="2"/>
    </font>
    <font>
      <b/>
      <sz val="10"/>
      <color rgb="FFFF0000"/>
      <name val="Arial"/>
      <family val="2"/>
    </font>
    <font>
      <sz val="12"/>
      <color rgb="FF323232"/>
      <name val="Arial"/>
      <family val="2"/>
    </font>
    <font>
      <b/>
      <sz val="10"/>
      <name val="Arial"/>
      <family val="2"/>
    </font>
    <font>
      <u/>
      <sz val="11"/>
      <color theme="10"/>
      <name val="Calibri"/>
      <family val="2"/>
      <scheme val="minor"/>
    </font>
    <font>
      <b/>
      <sz val="12"/>
      <color theme="1"/>
      <name val="Calibri"/>
      <family val="2"/>
      <scheme val="minor"/>
    </font>
    <font>
      <b/>
      <u/>
      <sz val="14"/>
      <color rgb="FFFF0000"/>
      <name val="Calibri"/>
      <family val="2"/>
      <scheme val="minor"/>
    </font>
    <font>
      <b/>
      <sz val="14"/>
      <color rgb="FFFF0000"/>
      <name val="Calibri"/>
      <family val="2"/>
      <scheme val="minor"/>
    </font>
    <font>
      <sz val="12"/>
      <name val="Arial"/>
      <family val="2"/>
    </font>
    <font>
      <i/>
      <sz val="12"/>
      <color theme="1"/>
      <name val="Calibri"/>
      <family val="2"/>
      <scheme val="minor"/>
    </font>
    <font>
      <b/>
      <sz val="10"/>
      <color rgb="FFFF0000"/>
      <name val="Calibri"/>
      <family val="2"/>
      <scheme val="minor"/>
    </font>
    <font>
      <b/>
      <sz val="11"/>
      <color rgb="FFFF0000"/>
      <name val="Calibri"/>
      <family val="2"/>
      <scheme val="minor"/>
    </font>
    <font>
      <b/>
      <u/>
      <sz val="11"/>
      <color rgb="FFFF0000"/>
      <name val="Calibri"/>
      <family val="2"/>
      <scheme val="minor"/>
    </font>
    <font>
      <i/>
      <sz val="12"/>
      <color rgb="FFFF0000"/>
      <name val="Calibri"/>
      <family val="2"/>
      <scheme val="minor"/>
    </font>
    <font>
      <sz val="24"/>
      <color theme="1"/>
      <name val="Calibri"/>
      <family val="2"/>
      <scheme val="minor"/>
    </font>
    <font>
      <sz val="24"/>
      <color rgb="FFFF0000"/>
      <name val="Calibri"/>
      <family val="2"/>
      <scheme val="minor"/>
    </font>
    <font>
      <b/>
      <sz val="14"/>
      <color theme="1"/>
      <name val="Calibri"/>
      <family val="2"/>
      <scheme val="minor"/>
    </font>
    <font>
      <b/>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color rgb="FFFF0000"/>
      <name val="Calibri"/>
      <family val="2"/>
      <scheme val="minor"/>
    </font>
    <font>
      <sz val="11"/>
      <name val="Calibri"/>
      <family val="2"/>
    </font>
    <font>
      <vertAlign val="superscript"/>
      <sz val="11"/>
      <name val="Calibri"/>
      <family val="2"/>
    </font>
    <font>
      <b/>
      <sz val="11"/>
      <name val="Calibri"/>
      <family val="2"/>
    </font>
    <font>
      <sz val="11"/>
      <color theme="1"/>
      <name val="Calibri"/>
      <family val="2"/>
    </font>
    <font>
      <u/>
      <sz val="11"/>
      <name val="Calibri"/>
      <family val="2"/>
    </font>
    <font>
      <b/>
      <u/>
      <sz val="16"/>
      <color theme="1"/>
      <name val="Calibri"/>
      <family val="2"/>
      <scheme val="minor"/>
    </font>
    <font>
      <sz val="11"/>
      <color theme="4" tint="-0.249977111117893"/>
      <name val="Calibri"/>
      <family val="2"/>
      <scheme val="minor"/>
    </font>
    <font>
      <b/>
      <sz val="10"/>
      <color theme="1"/>
      <name val="Calibri"/>
      <family val="2"/>
      <scheme val="minor"/>
    </font>
    <font>
      <b/>
      <i/>
      <sz val="11"/>
      <color theme="1"/>
      <name val="Calibri"/>
      <family val="2"/>
      <scheme val="minor"/>
    </font>
  </fonts>
  <fills count="44">
    <fill>
      <patternFill patternType="none"/>
    </fill>
    <fill>
      <patternFill patternType="gray125"/>
    </fill>
    <fill>
      <patternFill patternType="solid">
        <fgColor indexed="44"/>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9D9D9"/>
        <bgColor indexed="64"/>
      </patternFill>
    </fill>
    <fill>
      <patternFill patternType="solid">
        <fgColor rgb="FFD9E1F2"/>
        <bgColor indexed="64"/>
      </patternFill>
    </fill>
    <fill>
      <patternFill patternType="solid">
        <fgColor rgb="FFFFF2CC"/>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51">
    <xf numFmtId="0" fontId="0" fillId="0" borderId="0"/>
    <xf numFmtId="44" fontId="1" fillId="0" borderId="0" applyFon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xf numFmtId="0" fontId="34" fillId="0" borderId="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25"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5" fillId="32"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9" borderId="0" applyNumberFormat="0" applyBorder="0" applyAlignment="0" applyProtection="0"/>
    <xf numFmtId="0" fontId="46" fillId="23" borderId="0" applyNumberFormat="0" applyBorder="0" applyAlignment="0" applyProtection="0"/>
    <xf numFmtId="0" fontId="47" fillId="40" borderId="35" applyNumberFormat="0" applyAlignment="0" applyProtection="0"/>
    <xf numFmtId="0" fontId="48" fillId="41" borderId="36" applyNumberFormat="0" applyAlignment="0" applyProtection="0"/>
    <xf numFmtId="0" fontId="49" fillId="0" borderId="0" applyNumberFormat="0" applyFill="0" applyBorder="0" applyAlignment="0" applyProtection="0"/>
    <xf numFmtId="0" fontId="50" fillId="24" borderId="0" applyNumberFormat="0" applyBorder="0" applyAlignment="0" applyProtection="0"/>
    <xf numFmtId="0" fontId="51" fillId="0" borderId="37" applyNumberFormat="0" applyFill="0" applyAlignment="0" applyProtection="0"/>
    <xf numFmtId="0" fontId="52" fillId="0" borderId="38" applyNumberFormat="0" applyFill="0" applyAlignment="0" applyProtection="0"/>
    <xf numFmtId="0" fontId="53" fillId="0" borderId="39" applyNumberFormat="0" applyFill="0" applyAlignment="0" applyProtection="0"/>
    <xf numFmtId="0" fontId="53" fillId="0" borderId="0" applyNumberFormat="0" applyFill="0" applyBorder="0" applyAlignment="0" applyProtection="0"/>
    <xf numFmtId="0" fontId="54" fillId="27" borderId="35" applyNumberFormat="0" applyAlignment="0" applyProtection="0"/>
    <xf numFmtId="0" fontId="55" fillId="0" borderId="40" applyNumberFormat="0" applyFill="0" applyAlignment="0" applyProtection="0"/>
    <xf numFmtId="0" fontId="56" fillId="42" borderId="0" applyNumberFormat="0" applyBorder="0" applyAlignment="0" applyProtection="0"/>
    <xf numFmtId="0" fontId="34" fillId="43" borderId="41" applyNumberFormat="0" applyFont="0" applyAlignment="0" applyProtection="0"/>
    <xf numFmtId="0" fontId="57" fillId="40" borderId="42" applyNumberFormat="0" applyAlignment="0" applyProtection="0"/>
    <xf numFmtId="0" fontId="58" fillId="0" borderId="0" applyNumberFormat="0" applyFill="0" applyBorder="0" applyAlignment="0" applyProtection="0"/>
    <xf numFmtId="0" fontId="59" fillId="0" borderId="43" applyNumberFormat="0" applyFill="0" applyAlignment="0" applyProtection="0"/>
    <xf numFmtId="0" fontId="60"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420">
    <xf numFmtId="0" fontId="0" fillId="0" borderId="0" xfId="0"/>
    <xf numFmtId="49" fontId="3" fillId="0" borderId="0" xfId="0" applyNumberFormat="1" applyFont="1"/>
    <xf numFmtId="0" fontId="7" fillId="0" borderId="0" xfId="0" applyFont="1"/>
    <xf numFmtId="44" fontId="0" fillId="0" borderId="0" xfId="0" applyNumberFormat="1"/>
    <xf numFmtId="0" fontId="0" fillId="0" borderId="0" xfId="0" applyAlignment="1">
      <alignment horizontal="left"/>
    </xf>
    <xf numFmtId="0" fontId="0" fillId="0" borderId="0" xfId="0" applyAlignment="1">
      <alignment wrapText="1"/>
    </xf>
    <xf numFmtId="0" fontId="10" fillId="0" borderId="12" xfId="0" applyFont="1" applyBorder="1" applyAlignment="1">
      <alignment wrapText="1"/>
    </xf>
    <xf numFmtId="0" fontId="10" fillId="0" borderId="11" xfId="0" applyFont="1" applyBorder="1" applyAlignment="1">
      <alignment wrapText="1"/>
    </xf>
    <xf numFmtId="8" fontId="11" fillId="0" borderId="14" xfId="0" applyNumberFormat="1" applyFont="1" applyBorder="1" applyAlignment="1">
      <alignment wrapText="1"/>
    </xf>
    <xf numFmtId="8" fontId="11" fillId="0" borderId="6" xfId="0" applyNumberFormat="1" applyFont="1" applyBorder="1" applyAlignment="1">
      <alignment wrapText="1"/>
    </xf>
    <xf numFmtId="0" fontId="11" fillId="0" borderId="14" xfId="0" applyFont="1" applyBorder="1" applyAlignment="1">
      <alignment wrapText="1"/>
    </xf>
    <xf numFmtId="0" fontId="11" fillId="0" borderId="6" xfId="0" applyFont="1" applyBorder="1" applyAlignment="1">
      <alignment wrapText="1"/>
    </xf>
    <xf numFmtId="15" fontId="0" fillId="4" borderId="10" xfId="0" applyNumberFormat="1" applyFill="1" applyBorder="1" applyAlignment="1">
      <alignment horizontal="left"/>
    </xf>
    <xf numFmtId="0" fontId="9" fillId="0" borderId="0" xfId="0" applyFont="1" applyAlignment="1">
      <alignment horizontal="center"/>
    </xf>
    <xf numFmtId="43" fontId="0" fillId="0" borderId="0" xfId="4" applyFont="1"/>
    <xf numFmtId="166" fontId="8" fillId="0" borderId="0" xfId="4" applyNumberFormat="1" applyFont="1" applyFill="1"/>
    <xf numFmtId="166" fontId="2" fillId="0" borderId="0" xfId="4" applyNumberFormat="1" applyFont="1"/>
    <xf numFmtId="166" fontId="8" fillId="0" borderId="0" xfId="4" applyNumberFormat="1" applyFont="1"/>
    <xf numFmtId="166" fontId="0" fillId="0" borderId="0" xfId="4" applyNumberFormat="1" applyFont="1"/>
    <xf numFmtId="167" fontId="0" fillId="0" borderId="0" xfId="4" applyNumberFormat="1" applyFont="1"/>
    <xf numFmtId="0" fontId="6" fillId="2" borderId="0" xfId="2" applyFont="1" applyFill="1" applyAlignment="1">
      <alignment horizontal="center"/>
    </xf>
    <xf numFmtId="0" fontId="13" fillId="0" borderId="0" xfId="0" applyFont="1" applyAlignment="1">
      <alignment horizontal="center"/>
    </xf>
    <xf numFmtId="166" fontId="0" fillId="0" borderId="0" xfId="0" applyNumberFormat="1"/>
    <xf numFmtId="166" fontId="7" fillId="0" borderId="15" xfId="4" applyNumberFormat="1" applyFont="1" applyBorder="1" applyAlignment="1">
      <alignment horizontal="right"/>
    </xf>
    <xf numFmtId="166" fontId="0" fillId="0" borderId="15" xfId="0" applyNumberFormat="1" applyBorder="1"/>
    <xf numFmtId="166" fontId="0" fillId="10" borderId="0" xfId="0" applyNumberFormat="1" applyFill="1"/>
    <xf numFmtId="0" fontId="0" fillId="10" borderId="0" xfId="0" applyFill="1"/>
    <xf numFmtId="166" fontId="0" fillId="10" borderId="15" xfId="0" applyNumberFormat="1" applyFill="1" applyBorder="1"/>
    <xf numFmtId="0" fontId="10" fillId="6" borderId="11"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4" fillId="0" borderId="11" xfId="0" applyFont="1" applyBorder="1" applyAlignment="1">
      <alignment wrapText="1"/>
    </xf>
    <xf numFmtId="0" fontId="9" fillId="11" borderId="11" xfId="0" applyFont="1" applyFill="1" applyBorder="1" applyAlignment="1">
      <alignment horizontal="center" vertical="center"/>
    </xf>
    <xf numFmtId="44" fontId="0" fillId="0" borderId="11" xfId="1" applyFont="1" applyBorder="1"/>
    <xf numFmtId="0" fontId="0" fillId="0" borderId="11" xfId="0" applyBorder="1"/>
    <xf numFmtId="44" fontId="0" fillId="0" borderId="11" xfId="0" applyNumberFormat="1" applyBorder="1"/>
    <xf numFmtId="0" fontId="0" fillId="9" borderId="11" xfId="0" applyFill="1" applyBorder="1"/>
    <xf numFmtId="44" fontId="0" fillId="9" borderId="11" xfId="0" applyNumberFormat="1" applyFill="1" applyBorder="1"/>
    <xf numFmtId="44" fontId="9" fillId="9" borderId="11" xfId="0" applyNumberFormat="1" applyFont="1" applyFill="1" applyBorder="1"/>
    <xf numFmtId="0" fontId="13" fillId="0" borderId="0" xfId="0" applyFont="1"/>
    <xf numFmtId="0" fontId="12" fillId="8" borderId="6" xfId="0" applyFont="1" applyFill="1" applyBorder="1" applyAlignment="1">
      <alignment horizontal="center" wrapText="1"/>
    </xf>
    <xf numFmtId="14" fontId="12" fillId="8" borderId="6" xfId="0" applyNumberFormat="1" applyFont="1" applyFill="1" applyBorder="1" applyAlignment="1">
      <alignment horizontal="center" wrapText="1"/>
    </xf>
    <xf numFmtId="0" fontId="12" fillId="8" borderId="11" xfId="0" applyFont="1" applyFill="1" applyBorder="1" applyAlignment="1">
      <alignment horizontal="center" wrapText="1"/>
    </xf>
    <xf numFmtId="0" fontId="12" fillId="8" borderId="14" xfId="0" applyFont="1" applyFill="1" applyBorder="1" applyAlignment="1">
      <alignment horizontal="center" wrapText="1"/>
    </xf>
    <xf numFmtId="14" fontId="12" fillId="8" borderId="14" xfId="0" applyNumberFormat="1" applyFont="1" applyFill="1" applyBorder="1" applyAlignment="1">
      <alignment horizontal="center" wrapText="1"/>
    </xf>
    <xf numFmtId="0" fontId="0" fillId="12" borderId="0" xfId="0" applyFill="1"/>
    <xf numFmtId="44" fontId="0" fillId="0" borderId="15" xfId="1" applyFont="1" applyBorder="1"/>
    <xf numFmtId="0" fontId="0" fillId="0" borderId="13" xfId="0" applyBorder="1"/>
    <xf numFmtId="44" fontId="9" fillId="9" borderId="16" xfId="0" applyNumberFormat="1" applyFont="1" applyFill="1" applyBorder="1"/>
    <xf numFmtId="0" fontId="9" fillId="0" borderId="17" xfId="0" applyFont="1" applyBorder="1" applyAlignment="1">
      <alignment horizontal="center"/>
    </xf>
    <xf numFmtId="0" fontId="0" fillId="9" borderId="5" xfId="0" applyFill="1" applyBorder="1"/>
    <xf numFmtId="0" fontId="0" fillId="9" borderId="2" xfId="0" applyFill="1" applyBorder="1"/>
    <xf numFmtId="0" fontId="0" fillId="9" borderId="6" xfId="0" applyFill="1" applyBorder="1"/>
    <xf numFmtId="0" fontId="0" fillId="12" borderId="5" xfId="0" applyFill="1" applyBorder="1"/>
    <xf numFmtId="0" fontId="0" fillId="12" borderId="2" xfId="0" applyFill="1" applyBorder="1"/>
    <xf numFmtId="0" fontId="0" fillId="12" borderId="6" xfId="0" applyFill="1" applyBorder="1"/>
    <xf numFmtId="166" fontId="16" fillId="0" borderId="0" xfId="4" applyNumberFormat="1" applyFont="1"/>
    <xf numFmtId="0" fontId="17" fillId="0" borderId="0" xfId="0" applyFont="1" applyAlignment="1">
      <alignment vertical="center"/>
    </xf>
    <xf numFmtId="0" fontId="19" fillId="0" borderId="0" xfId="0" applyFont="1" applyAlignment="1">
      <alignment vertical="center"/>
    </xf>
    <xf numFmtId="43" fontId="0" fillId="0" borderId="15" xfId="4" applyFont="1" applyBorder="1"/>
    <xf numFmtId="0" fontId="21" fillId="0" borderId="0" xfId="0" applyFont="1"/>
    <xf numFmtId="0" fontId="22" fillId="0" borderId="0" xfId="0" applyFont="1"/>
    <xf numFmtId="49" fontId="23" fillId="0" borderId="0" xfId="0" applyNumberFormat="1" applyFont="1" applyAlignment="1">
      <alignment horizontal="left"/>
    </xf>
    <xf numFmtId="49" fontId="23" fillId="0" borderId="0" xfId="0" applyNumberFormat="1" applyFont="1" applyAlignment="1">
      <alignment horizontal="center"/>
    </xf>
    <xf numFmtId="0" fontId="24" fillId="0" borderId="0" xfId="0" applyFont="1"/>
    <xf numFmtId="0" fontId="25" fillId="0" borderId="0" xfId="0" applyFont="1"/>
    <xf numFmtId="0" fontId="26" fillId="0" borderId="0" xfId="0" applyFont="1" applyAlignment="1">
      <alignment horizontal="center"/>
    </xf>
    <xf numFmtId="166" fontId="21" fillId="0" borderId="0" xfId="4" applyNumberFormat="1" applyFont="1"/>
    <xf numFmtId="165" fontId="23" fillId="0" borderId="0" xfId="1" applyNumberFormat="1" applyFont="1" applyBorder="1"/>
    <xf numFmtId="0" fontId="26" fillId="0" borderId="0" xfId="0" applyFont="1"/>
    <xf numFmtId="164" fontId="23" fillId="0" borderId="0" xfId="0" applyNumberFormat="1" applyFont="1"/>
    <xf numFmtId="165" fontId="23" fillId="0" borderId="0" xfId="1" applyNumberFormat="1" applyFont="1" applyFill="1" applyBorder="1"/>
    <xf numFmtId="165" fontId="5" fillId="0" borderId="0" xfId="1" applyNumberFormat="1" applyFont="1" applyBorder="1"/>
    <xf numFmtId="44" fontId="21" fillId="0" borderId="0" xfId="1" applyFont="1"/>
    <xf numFmtId="169" fontId="21" fillId="0" borderId="0" xfId="4" applyNumberFormat="1" applyFont="1"/>
    <xf numFmtId="10" fontId="21" fillId="0" borderId="0" xfId="3" applyNumberFormat="1" applyFont="1"/>
    <xf numFmtId="167" fontId="21" fillId="0" borderId="0" xfId="4" applyNumberFormat="1" applyFont="1"/>
    <xf numFmtId="167" fontId="17" fillId="0" borderId="0" xfId="4" applyNumberFormat="1" applyFont="1" applyAlignment="1">
      <alignment vertical="center"/>
    </xf>
    <xf numFmtId="167" fontId="21" fillId="0" borderId="7" xfId="4" applyNumberFormat="1" applyFont="1" applyBorder="1"/>
    <xf numFmtId="167" fontId="21" fillId="0" borderId="0" xfId="4" applyNumberFormat="1" applyFont="1" applyBorder="1"/>
    <xf numFmtId="167" fontId="18" fillId="0" borderId="0" xfId="4" applyNumberFormat="1" applyFont="1" applyAlignment="1">
      <alignment vertical="center"/>
    </xf>
    <xf numFmtId="167" fontId="23" fillId="0" borderId="0" xfId="4" applyNumberFormat="1" applyFont="1" applyAlignment="1">
      <alignment horizontal="left"/>
    </xf>
    <xf numFmtId="49" fontId="28" fillId="0" borderId="0" xfId="0" applyNumberFormat="1" applyFont="1" applyAlignment="1">
      <alignment horizontal="left"/>
    </xf>
    <xf numFmtId="167" fontId="28" fillId="0" borderId="0" xfId="4" applyNumberFormat="1" applyFont="1" applyAlignment="1">
      <alignment horizontal="left"/>
    </xf>
    <xf numFmtId="165" fontId="28" fillId="0" borderId="0" xfId="1" applyNumberFormat="1" applyFont="1" applyBorder="1"/>
    <xf numFmtId="0" fontId="15" fillId="0" borderId="0" xfId="0" applyFont="1"/>
    <xf numFmtId="167" fontId="21" fillId="13" borderId="0" xfId="4" applyNumberFormat="1" applyFont="1" applyFill="1"/>
    <xf numFmtId="167" fontId="23" fillId="13" borderId="0" xfId="4" applyNumberFormat="1" applyFont="1" applyFill="1" applyAlignment="1">
      <alignment horizontal="left"/>
    </xf>
    <xf numFmtId="0" fontId="4" fillId="0" borderId="0" xfId="0" applyFont="1" applyAlignment="1">
      <alignment horizontal="center"/>
    </xf>
    <xf numFmtId="0" fontId="0" fillId="0" borderId="18" xfId="0" applyBorder="1"/>
    <xf numFmtId="0" fontId="0" fillId="0" borderId="3" xfId="0" applyBorder="1"/>
    <xf numFmtId="0" fontId="0" fillId="0" borderId="20" xfId="0" applyBorder="1"/>
    <xf numFmtId="169" fontId="0" fillId="0" borderId="0" xfId="0" applyNumberFormat="1"/>
    <xf numFmtId="0" fontId="0" fillId="0" borderId="22" xfId="0" applyBorder="1"/>
    <xf numFmtId="0" fontId="0" fillId="0" borderId="1" xfId="0" applyBorder="1"/>
    <xf numFmtId="0" fontId="0" fillId="0" borderId="14" xfId="0" applyBorder="1"/>
    <xf numFmtId="0" fontId="30" fillId="0" borderId="0" xfId="5"/>
    <xf numFmtId="0" fontId="0" fillId="0" borderId="25" xfId="0" applyBorder="1"/>
    <xf numFmtId="0" fontId="0" fillId="0" borderId="8" xfId="0" applyBorder="1"/>
    <xf numFmtId="0" fontId="0" fillId="0" borderId="26" xfId="0" applyBorder="1"/>
    <xf numFmtId="0" fontId="9" fillId="15" borderId="25" xfId="0" applyFont="1" applyFill="1" applyBorder="1" applyAlignment="1">
      <alignment horizontal="center" wrapText="1"/>
    </xf>
    <xf numFmtId="0" fontId="9" fillId="15" borderId="8" xfId="0" applyFont="1" applyFill="1" applyBorder="1" applyAlignment="1">
      <alignment horizontal="center" wrapText="1"/>
    </xf>
    <xf numFmtId="0" fontId="9" fillId="15" borderId="26" xfId="0" applyFont="1" applyFill="1" applyBorder="1" applyAlignment="1">
      <alignment horizontal="center" wrapText="1"/>
    </xf>
    <xf numFmtId="0" fontId="9" fillId="5" borderId="25" xfId="0" applyFont="1" applyFill="1" applyBorder="1" applyAlignment="1">
      <alignment horizontal="center" wrapText="1"/>
    </xf>
    <xf numFmtId="0" fontId="9" fillId="5" borderId="8" xfId="0" applyFont="1" applyFill="1" applyBorder="1" applyAlignment="1">
      <alignment horizontal="center" wrapText="1"/>
    </xf>
    <xf numFmtId="0" fontId="9" fillId="5" borderId="26" xfId="0" applyFont="1" applyFill="1" applyBorder="1" applyAlignment="1">
      <alignment horizontal="center" wrapText="1"/>
    </xf>
    <xf numFmtId="0" fontId="9" fillId="17" borderId="25" xfId="0" applyFont="1" applyFill="1" applyBorder="1" applyAlignment="1">
      <alignment horizontal="center" wrapText="1"/>
    </xf>
    <xf numFmtId="0" fontId="9" fillId="17" borderId="8" xfId="0" applyFont="1" applyFill="1" applyBorder="1" applyAlignment="1">
      <alignment horizontal="center" wrapText="1"/>
    </xf>
    <xf numFmtId="0" fontId="9" fillId="17" borderId="26" xfId="0" applyFont="1" applyFill="1" applyBorder="1" applyAlignment="1">
      <alignment horizontal="center" wrapText="1"/>
    </xf>
    <xf numFmtId="168" fontId="0" fillId="0" borderId="15" xfId="3" applyNumberFormat="1" applyFont="1" applyBorder="1"/>
    <xf numFmtId="169" fontId="21" fillId="0" borderId="0" xfId="4" applyNumberFormat="1" applyFont="1" applyBorder="1"/>
    <xf numFmtId="169" fontId="21" fillId="0" borderId="21" xfId="4" applyNumberFormat="1" applyFont="1" applyBorder="1"/>
    <xf numFmtId="0" fontId="0" fillId="0" borderId="20" xfId="0" applyBorder="1" applyAlignment="1">
      <alignment wrapText="1"/>
    </xf>
    <xf numFmtId="168" fontId="0" fillId="0" borderId="28" xfId="3" applyNumberFormat="1" applyFont="1" applyBorder="1"/>
    <xf numFmtId="0" fontId="9" fillId="0" borderId="29" xfId="0" applyFont="1" applyBorder="1" applyAlignment="1">
      <alignment horizontal="center"/>
    </xf>
    <xf numFmtId="0" fontId="9" fillId="0" borderId="30" xfId="0" applyFont="1" applyBorder="1" applyAlignment="1">
      <alignment horizontal="center"/>
    </xf>
    <xf numFmtId="168" fontId="0" fillId="0" borderId="0" xfId="3" applyNumberFormat="1" applyFont="1" applyBorder="1"/>
    <xf numFmtId="168" fontId="0" fillId="0" borderId="31" xfId="3" applyNumberFormat="1" applyFont="1" applyBorder="1"/>
    <xf numFmtId="169" fontId="0" fillId="0" borderId="28" xfId="3" applyNumberFormat="1" applyFont="1" applyBorder="1"/>
    <xf numFmtId="170" fontId="21" fillId="0" borderId="0" xfId="4" applyNumberFormat="1" applyFont="1"/>
    <xf numFmtId="170" fontId="21" fillId="0" borderId="7" xfId="4" applyNumberFormat="1" applyFont="1" applyBorder="1"/>
    <xf numFmtId="6" fontId="21" fillId="0" borderId="7" xfId="4" applyNumberFormat="1" applyFont="1" applyBorder="1"/>
    <xf numFmtId="6" fontId="23" fillId="13" borderId="0" xfId="4" applyNumberFormat="1" applyFont="1" applyFill="1" applyAlignment="1">
      <alignment horizontal="left"/>
    </xf>
    <xf numFmtId="6" fontId="21" fillId="0" borderId="0" xfId="4" applyNumberFormat="1" applyFont="1" applyBorder="1"/>
    <xf numFmtId="6" fontId="23" fillId="0" borderId="0" xfId="4" applyNumberFormat="1" applyFont="1" applyAlignment="1">
      <alignment horizontal="left"/>
    </xf>
    <xf numFmtId="6" fontId="0" fillId="0" borderId="0" xfId="0" applyNumberFormat="1"/>
    <xf numFmtId="167" fontId="23" fillId="4" borderId="0" xfId="4" applyNumberFormat="1" applyFont="1" applyFill="1" applyAlignment="1">
      <alignment horizontal="left"/>
    </xf>
    <xf numFmtId="0" fontId="27" fillId="19" borderId="0" xfId="0" applyFont="1" applyFill="1" applyAlignment="1">
      <alignment horizontal="center" wrapText="1"/>
    </xf>
    <xf numFmtId="166" fontId="21" fillId="19" borderId="0" xfId="4" applyNumberFormat="1" applyFont="1" applyFill="1"/>
    <xf numFmtId="167" fontId="21" fillId="19" borderId="7" xfId="4" applyNumberFormat="1" applyFont="1" applyFill="1" applyBorder="1"/>
    <xf numFmtId="167" fontId="21" fillId="19" borderId="0" xfId="4" applyNumberFormat="1" applyFont="1" applyFill="1"/>
    <xf numFmtId="165" fontId="5" fillId="19" borderId="0" xfId="1" applyNumberFormat="1" applyFont="1" applyFill="1"/>
    <xf numFmtId="0" fontId="21" fillId="19" borderId="0" xfId="0" applyFont="1" applyFill="1"/>
    <xf numFmtId="167" fontId="21" fillId="19" borderId="0" xfId="4" applyNumberFormat="1" applyFont="1" applyFill="1" applyBorder="1"/>
    <xf numFmtId="165" fontId="5" fillId="19" borderId="7" xfId="1" applyNumberFormat="1" applyFont="1" applyFill="1" applyBorder="1"/>
    <xf numFmtId="0" fontId="0" fillId="19" borderId="0" xfId="0" applyFill="1"/>
    <xf numFmtId="165" fontId="20" fillId="19" borderId="4" xfId="1" applyNumberFormat="1" applyFont="1" applyFill="1" applyBorder="1"/>
    <xf numFmtId="0" fontId="27" fillId="5" borderId="0" xfId="0" applyFont="1" applyFill="1" applyAlignment="1">
      <alignment horizontal="center" wrapText="1"/>
    </xf>
    <xf numFmtId="166" fontId="21" fillId="5" borderId="0" xfId="4" applyNumberFormat="1" applyFont="1" applyFill="1"/>
    <xf numFmtId="167" fontId="21" fillId="5" borderId="7" xfId="4" applyNumberFormat="1" applyFont="1" applyFill="1" applyBorder="1"/>
    <xf numFmtId="167" fontId="21" fillId="5" borderId="0" xfId="4" applyNumberFormat="1" applyFont="1" applyFill="1"/>
    <xf numFmtId="165" fontId="5" fillId="5" borderId="0" xfId="1" applyNumberFormat="1" applyFont="1" applyFill="1"/>
    <xf numFmtId="0" fontId="21" fillId="5" borderId="0" xfId="0" applyFont="1" applyFill="1"/>
    <xf numFmtId="167" fontId="21" fillId="5" borderId="0" xfId="4" applyNumberFormat="1" applyFont="1" applyFill="1" applyBorder="1"/>
    <xf numFmtId="165" fontId="5" fillId="5" borderId="7" xfId="1" applyNumberFormat="1" applyFont="1" applyFill="1" applyBorder="1"/>
    <xf numFmtId="0" fontId="0" fillId="5" borderId="0" xfId="0" applyFill="1"/>
    <xf numFmtId="165" fontId="20" fillId="5" borderId="4" xfId="1" applyNumberFormat="1" applyFont="1" applyFill="1" applyBorder="1"/>
    <xf numFmtId="0" fontId="27" fillId="17" borderId="0" xfId="0" applyFont="1" applyFill="1" applyAlignment="1">
      <alignment horizontal="center" wrapText="1"/>
    </xf>
    <xf numFmtId="166" fontId="21" fillId="17" borderId="0" xfId="4" applyNumberFormat="1" applyFont="1" applyFill="1"/>
    <xf numFmtId="167" fontId="21" fillId="17" borderId="7" xfId="4" applyNumberFormat="1" applyFont="1" applyFill="1" applyBorder="1"/>
    <xf numFmtId="167" fontId="21" fillId="17" borderId="0" xfId="4" applyNumberFormat="1" applyFont="1" applyFill="1"/>
    <xf numFmtId="165" fontId="5" fillId="17" borderId="0" xfId="1" applyNumberFormat="1" applyFont="1" applyFill="1"/>
    <xf numFmtId="0" fontId="21" fillId="17" borderId="0" xfId="0" applyFont="1" applyFill="1"/>
    <xf numFmtId="167" fontId="21" fillId="17" borderId="0" xfId="4" applyNumberFormat="1" applyFont="1" applyFill="1" applyBorder="1"/>
    <xf numFmtId="165" fontId="5" fillId="17" borderId="7" xfId="1" applyNumberFormat="1" applyFont="1" applyFill="1" applyBorder="1"/>
    <xf numFmtId="0" fontId="0" fillId="17" borderId="0" xfId="0" applyFill="1"/>
    <xf numFmtId="165" fontId="20" fillId="17" borderId="4" xfId="1" applyNumberFormat="1" applyFont="1" applyFill="1" applyBorder="1"/>
    <xf numFmtId="0" fontId="26" fillId="19" borderId="0" xfId="0" applyFont="1" applyFill="1"/>
    <xf numFmtId="166" fontId="21" fillId="19" borderId="0" xfId="0" applyNumberFormat="1" applyFont="1" applyFill="1"/>
    <xf numFmtId="43" fontId="21" fillId="19" borderId="0" xfId="4" applyFont="1" applyFill="1"/>
    <xf numFmtId="169" fontId="21" fillId="19" borderId="0" xfId="4" applyNumberFormat="1" applyFont="1" applyFill="1"/>
    <xf numFmtId="0" fontId="26" fillId="5" borderId="0" xfId="0" applyFont="1" applyFill="1"/>
    <xf numFmtId="166" fontId="21" fillId="5" borderId="0" xfId="0" applyNumberFormat="1" applyFont="1" applyFill="1"/>
    <xf numFmtId="169" fontId="21" fillId="5" borderId="0" xfId="4" applyNumberFormat="1" applyFont="1" applyFill="1"/>
    <xf numFmtId="0" fontId="26" fillId="17" borderId="0" xfId="0" applyFont="1" applyFill="1"/>
    <xf numFmtId="166" fontId="21" fillId="17" borderId="0" xfId="0" applyNumberFormat="1" applyFont="1" applyFill="1"/>
    <xf numFmtId="169" fontId="21" fillId="17" borderId="0" xfId="4" applyNumberFormat="1" applyFont="1" applyFill="1"/>
    <xf numFmtId="170" fontId="21" fillId="19" borderId="0" xfId="4" applyNumberFormat="1" applyFont="1" applyFill="1"/>
    <xf numFmtId="170" fontId="21" fillId="5" borderId="0" xfId="4" applyNumberFormat="1" applyFont="1" applyFill="1"/>
    <xf numFmtId="170" fontId="21" fillId="17" borderId="0" xfId="4" applyNumberFormat="1" applyFont="1" applyFill="1"/>
    <xf numFmtId="170" fontId="21" fillId="19" borderId="7" xfId="4" applyNumberFormat="1" applyFont="1" applyFill="1" applyBorder="1"/>
    <xf numFmtId="170" fontId="21" fillId="5" borderId="7" xfId="4" applyNumberFormat="1" applyFont="1" applyFill="1" applyBorder="1"/>
    <xf numFmtId="170" fontId="21" fillId="17" borderId="7" xfId="4" applyNumberFormat="1" applyFont="1" applyFill="1" applyBorder="1"/>
    <xf numFmtId="170" fontId="21" fillId="19" borderId="0" xfId="0" applyNumberFormat="1" applyFont="1" applyFill="1"/>
    <xf numFmtId="170" fontId="21" fillId="5" borderId="0" xfId="0" applyNumberFormat="1" applyFont="1" applyFill="1"/>
    <xf numFmtId="170" fontId="21" fillId="17" borderId="0" xfId="0" applyNumberFormat="1" applyFont="1" applyFill="1"/>
    <xf numFmtId="167" fontId="23" fillId="0" borderId="0" xfId="4" applyNumberFormat="1" applyFont="1" applyBorder="1" applyAlignment="1">
      <alignment horizontal="left"/>
    </xf>
    <xf numFmtId="44" fontId="21" fillId="19" borderId="0" xfId="1" applyFont="1" applyFill="1" applyBorder="1"/>
    <xf numFmtId="0" fontId="0" fillId="3" borderId="20" xfId="0" applyFill="1" applyBorder="1"/>
    <xf numFmtId="0" fontId="0" fillId="3" borderId="21" xfId="0" applyFill="1" applyBorder="1"/>
    <xf numFmtId="0" fontId="0" fillId="3" borderId="3" xfId="0" applyFill="1" applyBorder="1"/>
    <xf numFmtId="0" fontId="0" fillId="3" borderId="19" xfId="0" applyFill="1" applyBorder="1"/>
    <xf numFmtId="0" fontId="0" fillId="3" borderId="0" xfId="0" applyFill="1"/>
    <xf numFmtId="49" fontId="4" fillId="3" borderId="0" xfId="0" applyNumberFormat="1" applyFont="1" applyFill="1" applyAlignment="1">
      <alignment horizontal="center"/>
    </xf>
    <xf numFmtId="49" fontId="4" fillId="3" borderId="21" xfId="0" applyNumberFormat="1" applyFont="1" applyFill="1" applyBorder="1" applyAlignment="1">
      <alignment horizontal="center"/>
    </xf>
    <xf numFmtId="169" fontId="0" fillId="3" borderId="0" xfId="0" applyNumberFormat="1" applyFill="1"/>
    <xf numFmtId="169" fontId="0" fillId="3" borderId="21" xfId="0" applyNumberFormat="1" applyFill="1" applyBorder="1"/>
    <xf numFmtId="0" fontId="0" fillId="3" borderId="22" xfId="0" applyFill="1" applyBorder="1"/>
    <xf numFmtId="0" fontId="0" fillId="3" borderId="1" xfId="0" applyFill="1" applyBorder="1"/>
    <xf numFmtId="0" fontId="0" fillId="3" borderId="14" xfId="0" applyFill="1" applyBorder="1"/>
    <xf numFmtId="0" fontId="9" fillId="0" borderId="0" xfId="0" applyFont="1"/>
    <xf numFmtId="0" fontId="9" fillId="3" borderId="18" xfId="0" applyFont="1" applyFill="1" applyBorder="1"/>
    <xf numFmtId="169" fontId="0" fillId="5" borderId="8" xfId="0" applyNumberFormat="1" applyFill="1" applyBorder="1"/>
    <xf numFmtId="169" fontId="0" fillId="18" borderId="8" xfId="0" applyNumberFormat="1" applyFill="1" applyBorder="1"/>
    <xf numFmtId="0" fontId="0" fillId="0" borderId="32" xfId="0" applyBorder="1"/>
    <xf numFmtId="0" fontId="0" fillId="0" borderId="33" xfId="0" applyBorder="1"/>
    <xf numFmtId="169" fontId="0" fillId="17" borderId="8" xfId="0" applyNumberFormat="1" applyFill="1" applyBorder="1"/>
    <xf numFmtId="0" fontId="32" fillId="0" borderId="0" xfId="0" applyFont="1"/>
    <xf numFmtId="167" fontId="34" fillId="14" borderId="0" xfId="4" applyNumberFormat="1" applyFont="1" applyFill="1" applyAlignment="1">
      <alignment horizontal="left"/>
    </xf>
    <xf numFmtId="167" fontId="5" fillId="14" borderId="0" xfId="4" applyNumberFormat="1" applyFont="1" applyFill="1" applyAlignment="1">
      <alignment horizontal="left"/>
    </xf>
    <xf numFmtId="6" fontId="21" fillId="0" borderId="4" xfId="4" applyNumberFormat="1" applyFont="1" applyBorder="1"/>
    <xf numFmtId="0" fontId="0" fillId="0" borderId="0" xfId="0" applyAlignment="1">
      <alignment horizontal="center" vertical="center" wrapText="1"/>
    </xf>
    <xf numFmtId="169" fontId="0" fillId="0" borderId="15" xfId="0" applyNumberFormat="1" applyBorder="1"/>
    <xf numFmtId="0" fontId="0" fillId="0" borderId="8" xfId="0" applyBorder="1" applyAlignment="1">
      <alignment horizontal="center"/>
    </xf>
    <xf numFmtId="0" fontId="0" fillId="0" borderId="8" xfId="0" applyBorder="1" applyAlignment="1">
      <alignment horizontal="center" wrapText="1"/>
    </xf>
    <xf numFmtId="171" fontId="0" fillId="0" borderId="0" xfId="0" applyNumberFormat="1"/>
    <xf numFmtId="0" fontId="0" fillId="4" borderId="22" xfId="0" applyFill="1" applyBorder="1"/>
    <xf numFmtId="0" fontId="0" fillId="4" borderId="1" xfId="0" applyFill="1" applyBorder="1"/>
    <xf numFmtId="0" fontId="0" fillId="4" borderId="14" xfId="0" applyFill="1" applyBorder="1"/>
    <xf numFmtId="169" fontId="0" fillId="0" borderId="15" xfId="3" applyNumberFormat="1" applyFont="1" applyBorder="1" applyAlignment="1">
      <alignment wrapText="1"/>
    </xf>
    <xf numFmtId="0" fontId="4" fillId="0" borderId="5" xfId="0" applyFont="1" applyBorder="1"/>
    <xf numFmtId="0" fontId="0" fillId="0" borderId="2" xfId="0" applyBorder="1"/>
    <xf numFmtId="0" fontId="0" fillId="0" borderId="6" xfId="0" applyBorder="1"/>
    <xf numFmtId="169" fontId="0" fillId="0" borderId="14" xfId="0" applyNumberFormat="1" applyBorder="1"/>
    <xf numFmtId="8" fontId="21" fillId="0" borderId="0" xfId="4" applyNumberFormat="1" applyFont="1" applyFill="1" applyBorder="1"/>
    <xf numFmtId="44" fontId="21" fillId="0" borderId="0" xfId="1" applyFont="1" applyFill="1" applyBorder="1"/>
    <xf numFmtId="169" fontId="21" fillId="19" borderId="0" xfId="1" applyNumberFormat="1" applyFont="1" applyFill="1" applyBorder="1"/>
    <xf numFmtId="169" fontId="21" fillId="5" borderId="0" xfId="1" applyNumberFormat="1" applyFont="1" applyFill="1" applyBorder="1"/>
    <xf numFmtId="169" fontId="21" fillId="17" borderId="0" xfId="0" applyNumberFormat="1" applyFont="1" applyFill="1"/>
    <xf numFmtId="169" fontId="21" fillId="17" borderId="0" xfId="1" applyNumberFormat="1" applyFont="1" applyFill="1" applyBorder="1"/>
    <xf numFmtId="0" fontId="0" fillId="17" borderId="22" xfId="0" applyFill="1" applyBorder="1"/>
    <xf numFmtId="0" fontId="0" fillId="17" borderId="1" xfId="0" applyFill="1" applyBorder="1"/>
    <xf numFmtId="0" fontId="0" fillId="17" borderId="14" xfId="0" applyFill="1" applyBorder="1" applyAlignment="1">
      <alignment horizontal="center"/>
    </xf>
    <xf numFmtId="169" fontId="0" fillId="0" borderId="34" xfId="3" applyNumberFormat="1" applyFont="1" applyBorder="1" applyAlignment="1">
      <alignment wrapText="1"/>
    </xf>
    <xf numFmtId="0" fontId="37" fillId="0" borderId="0" xfId="0" applyFont="1"/>
    <xf numFmtId="0" fontId="16" fillId="16" borderId="0" xfId="0" applyFont="1" applyFill="1" applyAlignment="1">
      <alignment horizontal="center"/>
    </xf>
    <xf numFmtId="0" fontId="16" fillId="16" borderId="0" xfId="0" applyFont="1" applyFill="1" applyAlignment="1">
      <alignment horizontal="center" wrapText="1"/>
    </xf>
    <xf numFmtId="0" fontId="0" fillId="0" borderId="0" xfId="0" applyAlignment="1">
      <alignment horizontal="center"/>
    </xf>
    <xf numFmtId="0" fontId="0" fillId="0" borderId="19" xfId="0" applyBorder="1"/>
    <xf numFmtId="0" fontId="4" fillId="0" borderId="20" xfId="0" applyFont="1" applyBorder="1"/>
    <xf numFmtId="0" fontId="0" fillId="0" borderId="21" xfId="0" applyBorder="1"/>
    <xf numFmtId="0" fontId="9" fillId="0" borderId="0" xfId="0" applyFont="1" applyAlignment="1">
      <alignment horizontal="center" wrapText="1"/>
    </xf>
    <xf numFmtId="10" fontId="0" fillId="0" borderId="0" xfId="3" applyNumberFormat="1" applyFont="1"/>
    <xf numFmtId="10" fontId="0" fillId="0" borderId="0" xfId="0" applyNumberFormat="1"/>
    <xf numFmtId="10" fontId="0" fillId="0" borderId="8" xfId="3" applyNumberFormat="1" applyFont="1" applyBorder="1"/>
    <xf numFmtId="10" fontId="1" fillId="0" borderId="8" xfId="3" applyNumberFormat="1" applyFont="1" applyBorder="1"/>
    <xf numFmtId="10" fontId="42" fillId="0" borderId="0" xfId="0" applyNumberFormat="1" applyFont="1"/>
    <xf numFmtId="17" fontId="0" fillId="0" borderId="0" xfId="0" applyNumberFormat="1"/>
    <xf numFmtId="169" fontId="9" fillId="0" borderId="0" xfId="0" applyNumberFormat="1" applyFont="1"/>
    <xf numFmtId="0" fontId="43" fillId="0" borderId="0" xfId="0" applyFont="1"/>
    <xf numFmtId="169" fontId="26" fillId="5" borderId="0" xfId="1" applyNumberFormat="1" applyFont="1" applyFill="1" applyBorder="1"/>
    <xf numFmtId="169" fontId="26" fillId="17" borderId="0" xfId="0" applyNumberFormat="1" applyFont="1" applyFill="1"/>
    <xf numFmtId="8" fontId="0" fillId="20" borderId="20" xfId="0" applyNumberFormat="1" applyFill="1" applyBorder="1"/>
    <xf numFmtId="8" fontId="0" fillId="20" borderId="21" xfId="0" applyNumberFormat="1" applyFill="1" applyBorder="1"/>
    <xf numFmtId="8" fontId="0" fillId="20" borderId="22" xfId="0" applyNumberFormat="1" applyFill="1" applyBorder="1"/>
    <xf numFmtId="8" fontId="0" fillId="20" borderId="14" xfId="0" applyNumberFormat="1" applyFill="1" applyBorder="1"/>
    <xf numFmtId="169" fontId="26" fillId="19" borderId="1" xfId="1" applyNumberFormat="1" applyFont="1" applyFill="1" applyBorder="1"/>
    <xf numFmtId="169" fontId="26" fillId="5" borderId="1" xfId="1" applyNumberFormat="1" applyFont="1" applyFill="1" applyBorder="1"/>
    <xf numFmtId="169" fontId="26" fillId="17" borderId="14" xfId="1" applyNumberFormat="1" applyFont="1" applyFill="1" applyBorder="1"/>
    <xf numFmtId="0" fontId="16" fillId="0" borderId="0" xfId="0" applyFont="1"/>
    <xf numFmtId="169" fontId="16" fillId="0" borderId="0" xfId="0" applyNumberFormat="1" applyFont="1"/>
    <xf numFmtId="0" fontId="0" fillId="4" borderId="0" xfId="0" applyFill="1" applyAlignment="1">
      <alignment horizontal="left"/>
    </xf>
    <xf numFmtId="0" fontId="0" fillId="0" borderId="0" xfId="0" applyAlignment="1">
      <alignment horizontal="left" wrapText="1"/>
    </xf>
    <xf numFmtId="43" fontId="0" fillId="0" borderId="0" xfId="0" applyNumberFormat="1"/>
    <xf numFmtId="0" fontId="0" fillId="0" borderId="0" xfId="0" applyAlignment="1">
      <alignment horizontal="right"/>
    </xf>
    <xf numFmtId="43" fontId="0" fillId="4" borderId="0" xfId="4" applyFont="1" applyFill="1" applyAlignment="1">
      <alignment horizontal="left"/>
    </xf>
    <xf numFmtId="167" fontId="21" fillId="19" borderId="0" xfId="0" applyNumberFormat="1" applyFont="1" applyFill="1"/>
    <xf numFmtId="167" fontId="21" fillId="5" borderId="0" xfId="0" applyNumberFormat="1" applyFont="1" applyFill="1"/>
    <xf numFmtId="167" fontId="21" fillId="17" borderId="0" xfId="0" applyNumberFormat="1" applyFont="1" applyFill="1"/>
    <xf numFmtId="0" fontId="9" fillId="0" borderId="18" xfId="0" applyFont="1" applyBorder="1"/>
    <xf numFmtId="0" fontId="0" fillId="0" borderId="0" xfId="0" applyAlignment="1">
      <alignment horizontal="center" wrapText="1"/>
    </xf>
    <xf numFmtId="169" fontId="0" fillId="0" borderId="1" xfId="0" applyNumberFormat="1" applyBorder="1"/>
    <xf numFmtId="0" fontId="9" fillId="5" borderId="15" xfId="0" applyFont="1" applyFill="1" applyBorder="1" applyAlignment="1">
      <alignment horizontal="right"/>
    </xf>
    <xf numFmtId="43" fontId="9" fillId="5" borderId="15" xfId="0" applyNumberFormat="1" applyFont="1" applyFill="1" applyBorder="1"/>
    <xf numFmtId="0" fontId="9" fillId="0" borderId="20" xfId="0" applyFont="1" applyBorder="1"/>
    <xf numFmtId="49" fontId="0" fillId="4" borderId="10" xfId="0" applyNumberFormat="1" applyFill="1" applyBorder="1" applyAlignment="1">
      <alignment horizontal="left"/>
    </xf>
    <xf numFmtId="0" fontId="0" fillId="4" borderId="8" xfId="0" applyFill="1" applyBorder="1" applyAlignment="1">
      <alignment horizontal="left"/>
    </xf>
    <xf numFmtId="0" fontId="0" fillId="4" borderId="10" xfId="0" applyFill="1" applyBorder="1" applyAlignment="1">
      <alignment horizontal="left"/>
    </xf>
    <xf numFmtId="166" fontId="0" fillId="4" borderId="10" xfId="4" applyNumberFormat="1" applyFont="1" applyFill="1" applyBorder="1" applyAlignment="1">
      <alignment horizontal="left"/>
    </xf>
    <xf numFmtId="8" fontId="0" fillId="4" borderId="10" xfId="0" applyNumberFormat="1" applyFill="1" applyBorder="1" applyAlignment="1">
      <alignment horizontal="left"/>
    </xf>
    <xf numFmtId="8" fontId="36" fillId="4" borderId="10" xfId="0" applyNumberFormat="1" applyFont="1" applyFill="1" applyBorder="1" applyAlignment="1">
      <alignment horizontal="left"/>
    </xf>
    <xf numFmtId="0" fontId="37" fillId="4" borderId="10" xfId="0" applyFont="1" applyFill="1" applyBorder="1" applyAlignment="1">
      <alignment horizontal="left"/>
    </xf>
    <xf numFmtId="43" fontId="0" fillId="4" borderId="10" xfId="4" applyFont="1" applyFill="1" applyBorder="1" applyAlignment="1">
      <alignment horizontal="left"/>
    </xf>
    <xf numFmtId="8" fontId="0" fillId="0" borderId="1" xfId="0" applyNumberFormat="1" applyBorder="1"/>
    <xf numFmtId="0" fontId="9" fillId="5" borderId="7" xfId="0" applyFont="1" applyFill="1" applyBorder="1" applyAlignment="1">
      <alignment horizontal="right"/>
    </xf>
    <xf numFmtId="43" fontId="9" fillId="5" borderId="7" xfId="0" applyNumberFormat="1" applyFont="1" applyFill="1" applyBorder="1"/>
    <xf numFmtId="0" fontId="33" fillId="0" borderId="0" xfId="0" applyFont="1" applyAlignment="1">
      <alignment horizontal="left" vertical="center" wrapText="1"/>
    </xf>
    <xf numFmtId="0" fontId="5" fillId="0" borderId="0" xfId="0" applyFont="1" applyAlignment="1">
      <alignment wrapText="1"/>
    </xf>
    <xf numFmtId="172" fontId="0" fillId="0" borderId="0" xfId="0" applyNumberFormat="1"/>
    <xf numFmtId="43" fontId="1" fillId="0" borderId="0" xfId="4" applyBorder="1"/>
    <xf numFmtId="166" fontId="8" fillId="0" borderId="0" xfId="4" applyNumberFormat="1" applyFont="1" applyFill="1" applyBorder="1"/>
    <xf numFmtId="0" fontId="6" fillId="0" borderId="0" xfId="2" applyFont="1" applyAlignment="1">
      <alignment horizontal="center"/>
    </xf>
    <xf numFmtId="166" fontId="7" fillId="0" borderId="0" xfId="4" applyNumberFormat="1" applyFont="1" applyFill="1" applyBorder="1" applyAlignment="1">
      <alignment horizontal="right"/>
    </xf>
    <xf numFmtId="0" fontId="62" fillId="0" borderId="0" xfId="2" applyFont="1" applyAlignment="1">
      <alignment horizontal="right"/>
    </xf>
    <xf numFmtId="0" fontId="63" fillId="0" borderId="0" xfId="2" applyFont="1" applyAlignment="1">
      <alignment horizontal="left"/>
    </xf>
    <xf numFmtId="168" fontId="62" fillId="0" borderId="0" xfId="48" applyNumberFormat="1" applyFont="1" applyFill="1"/>
    <xf numFmtId="0" fontId="62" fillId="0" borderId="0" xfId="2" applyFont="1" applyAlignment="1">
      <alignment horizontal="left"/>
    </xf>
    <xf numFmtId="0" fontId="62" fillId="0" borderId="0" xfId="2" applyFont="1" applyAlignment="1">
      <alignment horizontal="left" vertical="center"/>
    </xf>
    <xf numFmtId="0" fontId="62" fillId="0" borderId="0" xfId="2" applyFont="1" applyAlignment="1">
      <alignment horizontal="center" vertical="center"/>
    </xf>
    <xf numFmtId="10" fontId="62" fillId="0" borderId="0" xfId="48" applyNumberFormat="1" applyFont="1" applyBorder="1" applyAlignment="1"/>
    <xf numFmtId="10" fontId="62" fillId="0" borderId="0" xfId="48" applyNumberFormat="1" applyFont="1" applyBorder="1" applyAlignment="1">
      <alignment horizontal="left"/>
    </xf>
    <xf numFmtId="10" fontId="62" fillId="0" borderId="0" xfId="48" applyNumberFormat="1" applyFont="1" applyFill="1" applyBorder="1" applyAlignment="1"/>
    <xf numFmtId="0" fontId="62" fillId="0" borderId="0" xfId="2" applyFont="1"/>
    <xf numFmtId="167" fontId="62" fillId="0" borderId="0" xfId="49" applyNumberFormat="1" applyFont="1" applyBorder="1"/>
    <xf numFmtId="10" fontId="62" fillId="0" borderId="0" xfId="48" applyNumberFormat="1" applyFont="1" applyFill="1" applyBorder="1"/>
    <xf numFmtId="10" fontId="62" fillId="0" borderId="0" xfId="48" applyNumberFormat="1" applyFont="1" applyFill="1" applyBorder="1" applyAlignment="1">
      <alignment horizontal="left"/>
    </xf>
    <xf numFmtId="10" fontId="62" fillId="0" borderId="8" xfId="48" applyNumberFormat="1" applyFont="1" applyFill="1" applyBorder="1"/>
    <xf numFmtId="10" fontId="64" fillId="0" borderId="0" xfId="48" applyNumberFormat="1" applyFont="1" applyFill="1" applyBorder="1"/>
    <xf numFmtId="0" fontId="65" fillId="0" borderId="0" xfId="2" applyFont="1"/>
    <xf numFmtId="167" fontId="62" fillId="0" borderId="0" xfId="49" applyNumberFormat="1" applyFont="1" applyFill="1" applyBorder="1"/>
    <xf numFmtId="10" fontId="62" fillId="0" borderId="0" xfId="48" applyNumberFormat="1" applyFont="1" applyBorder="1"/>
    <xf numFmtId="43" fontId="62" fillId="0" borderId="0" xfId="49" applyFont="1" applyBorder="1"/>
    <xf numFmtId="43" fontId="62" fillId="0" borderId="0" xfId="49" applyFont="1" applyBorder="1" applyAlignment="1">
      <alignment horizontal="left"/>
    </xf>
    <xf numFmtId="165" fontId="62" fillId="0" borderId="0" xfId="50" applyNumberFormat="1" applyFont="1" applyBorder="1"/>
    <xf numFmtId="0" fontId="66" fillId="0" borderId="0" xfId="2" applyFont="1"/>
    <xf numFmtId="10" fontId="62" fillId="0" borderId="1" xfId="48" applyNumberFormat="1" applyFont="1" applyFill="1" applyBorder="1"/>
    <xf numFmtId="167" fontId="64" fillId="0" borderId="0" xfId="49" applyNumberFormat="1" applyFont="1" applyBorder="1"/>
    <xf numFmtId="0" fontId="64" fillId="0" borderId="0" xfId="2" applyFont="1"/>
    <xf numFmtId="0" fontId="64" fillId="0" borderId="0" xfId="2" applyFont="1" applyAlignment="1">
      <alignment horizontal="left"/>
    </xf>
    <xf numFmtId="10" fontId="64" fillId="0" borderId="44" xfId="48" applyNumberFormat="1" applyFont="1" applyFill="1" applyBorder="1"/>
    <xf numFmtId="173" fontId="62" fillId="0" borderId="0" xfId="2" applyNumberFormat="1" applyFont="1"/>
    <xf numFmtId="10" fontId="62" fillId="0" borderId="0" xfId="48" applyNumberFormat="1" applyFont="1"/>
    <xf numFmtId="0" fontId="62" fillId="0" borderId="8" xfId="2"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63" fillId="0" borderId="8" xfId="2" applyFont="1" applyBorder="1" applyAlignment="1">
      <alignment horizontal="left"/>
    </xf>
    <xf numFmtId="0" fontId="63" fillId="0" borderId="0" xfId="2" applyFont="1" applyAlignment="1">
      <alignment horizontal="center"/>
    </xf>
    <xf numFmtId="0" fontId="62" fillId="0" borderId="0" xfId="2" applyFont="1" applyAlignment="1">
      <alignment vertical="top"/>
    </xf>
    <xf numFmtId="0" fontId="67" fillId="0" borderId="0" xfId="0" applyFont="1"/>
    <xf numFmtId="0" fontId="9" fillId="0" borderId="0" xfId="0" applyFont="1" applyAlignment="1">
      <alignment horizontal="center" vertical="center" wrapText="1"/>
    </xf>
    <xf numFmtId="22" fontId="0" fillId="0" borderId="0" xfId="0" applyNumberFormat="1"/>
    <xf numFmtId="0" fontId="4" fillId="18" borderId="0" xfId="0" applyFont="1" applyFill="1" applyAlignment="1">
      <alignment horizontal="center"/>
    </xf>
    <xf numFmtId="22" fontId="41" fillId="0" borderId="0" xfId="0" applyNumberFormat="1" applyFont="1" applyAlignment="1">
      <alignment wrapText="1"/>
    </xf>
    <xf numFmtId="22" fontId="40" fillId="0" borderId="0" xfId="0" applyNumberFormat="1" applyFont="1"/>
    <xf numFmtId="0" fontId="68" fillId="0" borderId="0" xfId="0" applyFont="1"/>
    <xf numFmtId="43" fontId="0" fillId="0" borderId="0" xfId="4" applyFont="1" applyAlignment="1">
      <alignment horizontal="right"/>
    </xf>
    <xf numFmtId="43" fontId="0" fillId="0" borderId="0" xfId="4" applyFont="1" applyFill="1" applyBorder="1"/>
    <xf numFmtId="49" fontId="4" fillId="0" borderId="21" xfId="0" applyNumberFormat="1" applyFont="1" applyBorder="1" applyAlignment="1">
      <alignment horizontal="center"/>
    </xf>
    <xf numFmtId="49" fontId="4" fillId="0" borderId="0" xfId="0" applyNumberFormat="1" applyFont="1" applyAlignment="1">
      <alignment horizontal="center"/>
    </xf>
    <xf numFmtId="169" fontId="0" fillId="3" borderId="20" xfId="0" applyNumberFormat="1" applyFill="1" applyBorder="1" applyAlignment="1">
      <alignment horizontal="center" wrapText="1"/>
    </xf>
    <xf numFmtId="0" fontId="26" fillId="0" borderId="0" xfId="0" applyFont="1" applyAlignment="1">
      <alignment wrapText="1"/>
    </xf>
    <xf numFmtId="0" fontId="29" fillId="19" borderId="0" xfId="0" applyFont="1" applyFill="1" applyAlignment="1">
      <alignment wrapText="1"/>
    </xf>
    <xf numFmtId="0" fontId="29" fillId="5" borderId="0" xfId="0" applyFont="1" applyFill="1"/>
    <xf numFmtId="0" fontId="29" fillId="5" borderId="0" xfId="0" applyFont="1" applyFill="1" applyAlignment="1">
      <alignment wrapText="1"/>
    </xf>
    <xf numFmtId="0" fontId="29" fillId="17" borderId="0" xfId="0" applyFont="1" applyFill="1"/>
    <xf numFmtId="0" fontId="29" fillId="17" borderId="0" xfId="0" applyFont="1" applyFill="1" applyAlignment="1">
      <alignment wrapText="1"/>
    </xf>
    <xf numFmtId="2" fontId="2" fillId="0" borderId="0" xfId="0" applyNumberFormat="1" applyFont="1"/>
    <xf numFmtId="0" fontId="69" fillId="0" borderId="0" xfId="0" applyFont="1"/>
    <xf numFmtId="43" fontId="2" fillId="0" borderId="0" xfId="4" applyFont="1" applyBorder="1"/>
    <xf numFmtId="0" fontId="0" fillId="0" borderId="0" xfId="0" applyAlignment="1">
      <alignment vertical="center" wrapText="1"/>
    </xf>
    <xf numFmtId="0" fontId="0" fillId="0" borderId="45" xfId="0" applyBorder="1"/>
    <xf numFmtId="0" fontId="0" fillId="0" borderId="46" xfId="0" applyBorder="1"/>
    <xf numFmtId="0" fontId="9" fillId="0" borderId="46" xfId="0" applyFont="1" applyBorder="1"/>
    <xf numFmtId="0" fontId="0" fillId="0" borderId="47" xfId="0" applyBorder="1"/>
    <xf numFmtId="0" fontId="0" fillId="0" borderId="48" xfId="0" applyBorder="1"/>
    <xf numFmtId="0" fontId="0" fillId="0" borderId="49" xfId="0" applyBorder="1"/>
    <xf numFmtId="0" fontId="69" fillId="0" borderId="49" xfId="0" applyFont="1" applyBorder="1"/>
    <xf numFmtId="0" fontId="69" fillId="0" borderId="48" xfId="0" applyFont="1" applyBorder="1"/>
    <xf numFmtId="43" fontId="2" fillId="0" borderId="49" xfId="4" applyFont="1" applyBorder="1"/>
    <xf numFmtId="2" fontId="69" fillId="0" borderId="48" xfId="0" applyNumberFormat="1" applyFont="1" applyBorder="1"/>
    <xf numFmtId="2" fontId="2" fillId="0" borderId="49" xfId="0" applyNumberFormat="1" applyFont="1" applyBorder="1"/>
    <xf numFmtId="0" fontId="0" fillId="0" borderId="50" xfId="0" applyBorder="1"/>
    <xf numFmtId="0" fontId="0" fillId="0" borderId="51" xfId="0" applyBorder="1"/>
    <xf numFmtId="2" fontId="2" fillId="0" borderId="51" xfId="0" applyNumberFormat="1" applyFont="1" applyBorder="1"/>
    <xf numFmtId="2" fontId="2" fillId="0" borderId="52" xfId="0" applyNumberFormat="1" applyFont="1" applyBorder="1"/>
    <xf numFmtId="0" fontId="37" fillId="21" borderId="5" xfId="0" applyFont="1" applyFill="1" applyBorder="1" applyAlignment="1">
      <alignment horizontal="center" vertical="center" wrapText="1"/>
    </xf>
    <xf numFmtId="0" fontId="37" fillId="21" borderId="2" xfId="0" applyFont="1" applyFill="1" applyBorder="1" applyAlignment="1">
      <alignment horizontal="center" vertical="center" wrapText="1"/>
    </xf>
    <xf numFmtId="0" fontId="37" fillId="21" borderId="6" xfId="0" applyFont="1" applyFill="1" applyBorder="1" applyAlignment="1">
      <alignment horizontal="center" vertical="center" wrapText="1"/>
    </xf>
    <xf numFmtId="0" fontId="0" fillId="0" borderId="0" xfId="0" applyAlignment="1">
      <alignment horizontal="left" wrapText="1"/>
    </xf>
    <xf numFmtId="0" fontId="31" fillId="15" borderId="9" xfId="0" applyFont="1" applyFill="1" applyBorder="1" applyAlignment="1">
      <alignment horizontal="center"/>
    </xf>
    <xf numFmtId="0" fontId="31" fillId="15" borderId="10" xfId="0" applyFont="1" applyFill="1" applyBorder="1" applyAlignment="1">
      <alignment horizontal="center"/>
    </xf>
    <xf numFmtId="0" fontId="31" fillId="15" borderId="27" xfId="0" applyFont="1" applyFill="1" applyBorder="1" applyAlignment="1">
      <alignment horizontal="center"/>
    </xf>
    <xf numFmtId="0" fontId="31" fillId="5" borderId="9" xfId="0" applyFont="1" applyFill="1" applyBorder="1" applyAlignment="1">
      <alignment horizontal="center"/>
    </xf>
    <xf numFmtId="0" fontId="31" fillId="5" borderId="10" xfId="0" applyFont="1" applyFill="1" applyBorder="1" applyAlignment="1">
      <alignment horizontal="center"/>
    </xf>
    <xf numFmtId="0" fontId="31" fillId="5" borderId="27" xfId="0" applyFont="1" applyFill="1" applyBorder="1" applyAlignment="1">
      <alignment horizontal="center"/>
    </xf>
    <xf numFmtId="0" fontId="31" fillId="17" borderId="9" xfId="0" applyFont="1" applyFill="1" applyBorder="1" applyAlignment="1">
      <alignment horizontal="center"/>
    </xf>
    <xf numFmtId="0" fontId="31" fillId="17" borderId="10" xfId="0" applyFont="1" applyFill="1" applyBorder="1" applyAlignment="1">
      <alignment horizontal="center"/>
    </xf>
    <xf numFmtId="0" fontId="31" fillId="17" borderId="27" xfId="0" applyFont="1" applyFill="1" applyBorder="1" applyAlignment="1">
      <alignment horizontal="center"/>
    </xf>
    <xf numFmtId="170" fontId="0" fillId="4" borderId="10" xfId="0" applyNumberFormat="1" applyFill="1" applyBorder="1" applyAlignment="1">
      <alignment horizontal="left" wrapText="1"/>
    </xf>
    <xf numFmtId="0" fontId="0" fillId="4" borderId="10" xfId="0" applyFill="1" applyBorder="1" applyAlignment="1">
      <alignment horizontal="left" vertical="top" wrapText="1"/>
    </xf>
    <xf numFmtId="0" fontId="9" fillId="0" borderId="23" xfId="0" applyFont="1" applyBorder="1" applyAlignment="1">
      <alignment horizontal="left" wrapText="1"/>
    </xf>
    <xf numFmtId="0" fontId="9" fillId="0" borderId="7" xfId="0" applyFont="1" applyBorder="1" applyAlignment="1">
      <alignment horizontal="left" wrapText="1"/>
    </xf>
    <xf numFmtId="0" fontId="9" fillId="0" borderId="24" xfId="0" applyFont="1" applyBorder="1" applyAlignment="1">
      <alignment horizontal="left" wrapText="1"/>
    </xf>
    <xf numFmtId="0" fontId="0" fillId="0" borderId="0" xfId="0" applyAlignment="1">
      <alignment horizontal="center" wrapText="1"/>
    </xf>
    <xf numFmtId="0" fontId="33" fillId="21" borderId="0" xfId="0" applyFont="1" applyFill="1" applyAlignment="1">
      <alignment horizontal="left" vertical="center" wrapText="1"/>
    </xf>
    <xf numFmtId="8" fontId="31" fillId="20" borderId="20" xfId="0" applyNumberFormat="1" applyFont="1" applyFill="1" applyBorder="1" applyAlignment="1">
      <alignment horizontal="center"/>
    </xf>
    <xf numFmtId="8" fontId="31" fillId="20" borderId="21" xfId="0" applyNumberFormat="1" applyFont="1" applyFill="1" applyBorder="1" applyAlignment="1">
      <alignment horizontal="center"/>
    </xf>
    <xf numFmtId="0" fontId="0" fillId="4" borderId="0" xfId="0" applyFill="1" applyAlignment="1">
      <alignment horizontal="left"/>
    </xf>
    <xf numFmtId="0" fontId="9" fillId="20" borderId="18" xfId="0" applyFont="1" applyFill="1" applyBorder="1" applyAlignment="1">
      <alignment horizontal="center" wrapText="1"/>
    </xf>
    <xf numFmtId="0" fontId="9" fillId="20" borderId="19" xfId="0" applyFont="1" applyFill="1" applyBorder="1" applyAlignment="1">
      <alignment horizontal="center" wrapText="1"/>
    </xf>
    <xf numFmtId="0" fontId="9" fillId="20" borderId="20" xfId="0" applyFont="1" applyFill="1" applyBorder="1" applyAlignment="1">
      <alignment horizontal="center" wrapText="1"/>
    </xf>
    <xf numFmtId="0" fontId="9" fillId="20" borderId="21" xfId="0" applyFont="1" applyFill="1" applyBorder="1" applyAlignment="1">
      <alignment horizontal="center" wrapText="1"/>
    </xf>
    <xf numFmtId="0" fontId="33" fillId="16" borderId="0" xfId="0" applyFont="1" applyFill="1" applyAlignment="1">
      <alignment horizontal="center"/>
    </xf>
    <xf numFmtId="0" fontId="26" fillId="0" borderId="8" xfId="0" applyFont="1" applyBorder="1" applyAlignment="1">
      <alignment horizontal="center"/>
    </xf>
    <xf numFmtId="15" fontId="0" fillId="4" borderId="0" xfId="0" applyNumberFormat="1" applyFill="1" applyAlignment="1">
      <alignment horizontal="left"/>
    </xf>
    <xf numFmtId="8" fontId="0" fillId="4" borderId="0" xfId="0" applyNumberFormat="1" applyFill="1" applyAlignment="1">
      <alignment horizontal="left"/>
    </xf>
    <xf numFmtId="0" fontId="13" fillId="0" borderId="0" xfId="0" applyFont="1" applyAlignment="1">
      <alignment horizontal="center"/>
    </xf>
    <xf numFmtId="0" fontId="0" fillId="4" borderId="7" xfId="0" applyFill="1" applyBorder="1" applyAlignment="1">
      <alignment horizontal="left"/>
    </xf>
    <xf numFmtId="0" fontId="0" fillId="4" borderId="8" xfId="0" applyFill="1" applyBorder="1" applyAlignment="1">
      <alignment horizontal="left"/>
    </xf>
    <xf numFmtId="0" fontId="9" fillId="0" borderId="5" xfId="0" applyFont="1" applyBorder="1" applyAlignment="1">
      <alignment horizontal="center" wrapText="1"/>
    </xf>
    <xf numFmtId="0" fontId="9" fillId="0" borderId="2" xfId="0" applyFont="1" applyBorder="1" applyAlignment="1">
      <alignment horizontal="center" wrapText="1"/>
    </xf>
    <xf numFmtId="0" fontId="9" fillId="0" borderId="6" xfId="0" applyFont="1" applyBorder="1" applyAlignment="1">
      <alignment horizontal="center" wrapText="1"/>
    </xf>
    <xf numFmtId="0" fontId="38" fillId="4" borderId="18" xfId="0" applyFont="1" applyFill="1" applyBorder="1" applyAlignment="1">
      <alignment horizontal="center"/>
    </xf>
    <xf numFmtId="0" fontId="38" fillId="4" borderId="3" xfId="0" applyFont="1" applyFill="1" applyBorder="1" applyAlignment="1">
      <alignment horizontal="center"/>
    </xf>
    <xf numFmtId="0" fontId="38" fillId="4" borderId="19" xfId="0" applyFont="1" applyFill="1" applyBorder="1" applyAlignment="1">
      <alignment horizontal="center"/>
    </xf>
    <xf numFmtId="0" fontId="38" fillId="17" borderId="18" xfId="0" applyFont="1" applyFill="1" applyBorder="1" applyAlignment="1">
      <alignment horizontal="center"/>
    </xf>
    <xf numFmtId="0" fontId="38" fillId="17" borderId="3" xfId="0" applyFont="1" applyFill="1" applyBorder="1" applyAlignment="1">
      <alignment horizontal="center"/>
    </xf>
    <xf numFmtId="0" fontId="38" fillId="17" borderId="19" xfId="0" applyFont="1" applyFill="1" applyBorder="1" applyAlignment="1">
      <alignment horizontal="center"/>
    </xf>
    <xf numFmtId="0" fontId="35" fillId="5" borderId="5"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0" fillId="4" borderId="0" xfId="0" applyFill="1" applyAlignment="1">
      <alignment horizontal="center"/>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left" wrapText="1"/>
    </xf>
    <xf numFmtId="0" fontId="31" fillId="0" borderId="18"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4" xfId="0" applyFont="1" applyBorder="1" applyAlignment="1">
      <alignment horizontal="center" vertical="center" wrapText="1"/>
    </xf>
    <xf numFmtId="0" fontId="0" fillId="5" borderId="9" xfId="0" applyFill="1" applyBorder="1" applyAlignment="1">
      <alignment horizontal="left" wrapText="1"/>
    </xf>
    <xf numFmtId="0" fontId="0" fillId="5" borderId="10" xfId="0" applyFill="1" applyBorder="1" applyAlignment="1">
      <alignment horizontal="left" wrapText="1"/>
    </xf>
    <xf numFmtId="0" fontId="0" fillId="5" borderId="27" xfId="0" applyFill="1" applyBorder="1" applyAlignment="1">
      <alignment horizontal="left" wrapText="1"/>
    </xf>
    <xf numFmtId="8" fontId="0" fillId="4" borderId="0" xfId="0" applyNumberFormat="1" applyFill="1" applyAlignment="1">
      <alignment horizontal="center"/>
    </xf>
    <xf numFmtId="0" fontId="0" fillId="21" borderId="0" xfId="0" applyFill="1" applyAlignment="1">
      <alignment horizontal="center"/>
    </xf>
    <xf numFmtId="0" fontId="0" fillId="0" borderId="0" xfId="0" applyAlignment="1">
      <alignment horizontal="center"/>
    </xf>
    <xf numFmtId="0" fontId="9" fillId="0" borderId="1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9" xfId="0" applyFont="1" applyBorder="1" applyAlignment="1">
      <alignment horizontal="center" vertical="center" wrapText="1"/>
    </xf>
  </cellXfs>
  <cellStyles count="51">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omma" xfId="4" builtinId="3"/>
    <cellStyle name="Comma 2" xfId="49" xr:uid="{00000000-0005-0000-0000-00001C000000}"/>
    <cellStyle name="Currency" xfId="1" builtinId="4"/>
    <cellStyle name="Currency 2" xfId="50" xr:uid="{00000000-0005-0000-0000-00001E000000}"/>
    <cellStyle name="Explanatory Text 2" xfId="34" xr:uid="{00000000-0005-0000-0000-00001F000000}"/>
    <cellStyle name="Good 2" xfId="35" xr:uid="{00000000-0005-0000-0000-000020000000}"/>
    <cellStyle name="Heading 1 2" xfId="36" xr:uid="{00000000-0005-0000-0000-000021000000}"/>
    <cellStyle name="Heading 2 2" xfId="37" xr:uid="{00000000-0005-0000-0000-000022000000}"/>
    <cellStyle name="Heading 3 2" xfId="38" xr:uid="{00000000-0005-0000-0000-000023000000}"/>
    <cellStyle name="Heading 4 2" xfId="39" xr:uid="{00000000-0005-0000-0000-000024000000}"/>
    <cellStyle name="Hyperlink" xfId="5" builtinId="8"/>
    <cellStyle name="Input 2" xfId="40" xr:uid="{00000000-0005-0000-0000-000026000000}"/>
    <cellStyle name="Linked Cell 2" xfId="41" xr:uid="{00000000-0005-0000-0000-000027000000}"/>
    <cellStyle name="Neutral 2" xfId="42" xr:uid="{00000000-0005-0000-0000-000028000000}"/>
    <cellStyle name="Normal" xfId="0" builtinId="0"/>
    <cellStyle name="Normal 2" xfId="6" xr:uid="{00000000-0005-0000-0000-00002A000000}"/>
    <cellStyle name="Normal 2 2" xfId="2" xr:uid="{00000000-0005-0000-0000-00002B000000}"/>
    <cellStyle name="Note 2" xfId="43" xr:uid="{00000000-0005-0000-0000-00002C000000}"/>
    <cellStyle name="Output 2" xfId="44" xr:uid="{00000000-0005-0000-0000-00002D000000}"/>
    <cellStyle name="Percent" xfId="3" builtinId="5"/>
    <cellStyle name="Percent 2" xfId="48" xr:uid="{00000000-0005-0000-0000-00002F000000}"/>
    <cellStyle name="Title 2" xfId="45" xr:uid="{00000000-0005-0000-0000-000030000000}"/>
    <cellStyle name="Total 2" xfId="46" xr:uid="{00000000-0005-0000-0000-000031000000}"/>
    <cellStyle name="Warning Text 2" xfId="47"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89</xdr:row>
      <xdr:rowOff>0</xdr:rowOff>
    </xdr:from>
    <xdr:to>
      <xdr:col>21</xdr:col>
      <xdr:colOff>140493</xdr:colOff>
      <xdr:row>123</xdr:row>
      <xdr:rowOff>8961</xdr:rowOff>
    </xdr:to>
    <xdr:pic>
      <xdr:nvPicPr>
        <xdr:cNvPr id="3" name="Picture 2">
          <a:extLst>
            <a:ext uri="{FF2B5EF4-FFF2-40B4-BE49-F238E27FC236}">
              <a16:creationId xmlns:a16="http://schemas.microsoft.com/office/drawing/2014/main" id="{2A23370D-AB04-45B6-B446-7DE56E3439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4406" y="17692688"/>
          <a:ext cx="10058400" cy="64859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19</xdr:col>
      <xdr:colOff>179639</xdr:colOff>
      <xdr:row>70</xdr:row>
      <xdr:rowOff>180476</xdr:rowOff>
    </xdr:to>
    <xdr:pic>
      <xdr:nvPicPr>
        <xdr:cNvPr id="2" name="Picture 1">
          <a:extLst>
            <a:ext uri="{FF2B5EF4-FFF2-40B4-BE49-F238E27FC236}">
              <a16:creationId xmlns:a16="http://schemas.microsoft.com/office/drawing/2014/main" id="{721AE074-4BD4-4F81-B87A-025CCE100DDD}"/>
            </a:ext>
          </a:extLst>
        </xdr:cNvPr>
        <xdr:cNvPicPr>
          <a:picLocks noChangeAspect="1"/>
        </xdr:cNvPicPr>
      </xdr:nvPicPr>
      <xdr:blipFill>
        <a:blip xmlns:r="http://schemas.openxmlformats.org/officeDocument/2006/relationships" r:embed="rId1"/>
        <a:stretch>
          <a:fillRect/>
        </a:stretch>
      </xdr:blipFill>
      <xdr:spPr>
        <a:xfrm>
          <a:off x="609600" y="10267950"/>
          <a:ext cx="10685714" cy="39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yiso.com/custom-repor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2"/>
  <sheetViews>
    <sheetView tabSelected="1" topLeftCell="A2" zoomScale="80" zoomScaleNormal="80" workbookViewId="0">
      <selection activeCell="D48" sqref="D48"/>
    </sheetView>
  </sheetViews>
  <sheetFormatPr defaultRowHeight="15" x14ac:dyDescent="0.25"/>
  <cols>
    <col min="1" max="1" width="6" customWidth="1"/>
    <col min="2" max="2" width="21.85546875" customWidth="1"/>
    <col min="3" max="3" width="15.7109375" customWidth="1"/>
    <col min="4" max="4" width="13.5703125" customWidth="1"/>
    <col min="5" max="5" width="13.85546875" customWidth="1"/>
    <col min="6" max="6" width="13.42578125" customWidth="1"/>
    <col min="7" max="7" width="14.7109375" customWidth="1"/>
    <col min="8" max="8" width="12.85546875" customWidth="1"/>
    <col min="9" max="9" width="16.85546875" customWidth="1"/>
    <col min="10" max="10" width="15.140625" customWidth="1"/>
    <col min="11" max="11" width="11.85546875" customWidth="1"/>
    <col min="12" max="12" width="13.140625" customWidth="1"/>
    <col min="13" max="13" width="14.7109375" customWidth="1"/>
    <col min="14" max="14" width="11.85546875" customWidth="1"/>
    <col min="15" max="15" width="13" customWidth="1"/>
    <col min="16" max="16" width="14.7109375" customWidth="1"/>
    <col min="17" max="17" width="15.7109375" customWidth="1"/>
    <col min="18" max="18" width="9" customWidth="1"/>
    <col min="19" max="19" width="12.5703125" customWidth="1"/>
    <col min="20" max="20" width="10.140625" customWidth="1"/>
    <col min="21" max="21" width="12.5703125" customWidth="1"/>
    <col min="22" max="22" width="12.42578125" customWidth="1"/>
  </cols>
  <sheetData>
    <row r="1" spans="1:10" thickBot="1" x14ac:dyDescent="0.4"/>
    <row r="2" spans="1:10" ht="45" customHeight="1" thickBot="1" x14ac:dyDescent="0.4">
      <c r="B2" s="355" t="s">
        <v>219</v>
      </c>
      <c r="C2" s="356"/>
      <c r="D2" s="356"/>
      <c r="E2" s="356"/>
      <c r="F2" s="356"/>
      <c r="G2" s="356"/>
      <c r="H2" s="356"/>
      <c r="I2" s="356"/>
      <c r="J2" s="357"/>
    </row>
    <row r="4" spans="1:10" ht="14.45" x14ac:dyDescent="0.35">
      <c r="A4">
        <v>1</v>
      </c>
      <c r="B4" t="s">
        <v>29</v>
      </c>
      <c r="E4" s="225" t="s">
        <v>143</v>
      </c>
      <c r="F4" s="266"/>
      <c r="G4" s="266"/>
      <c r="H4" s="266"/>
      <c r="I4" s="266"/>
      <c r="J4" s="266"/>
    </row>
    <row r="5" spans="1:10" ht="14.45" x14ac:dyDescent="0.35">
      <c r="A5">
        <v>2</v>
      </c>
      <c r="B5" t="s">
        <v>31</v>
      </c>
      <c r="E5" s="225" t="s">
        <v>143</v>
      </c>
      <c r="F5" s="12"/>
      <c r="G5" s="267"/>
      <c r="H5" s="267"/>
      <c r="I5" s="267"/>
      <c r="J5" s="267"/>
    </row>
    <row r="6" spans="1:10" ht="14.45" x14ac:dyDescent="0.35">
      <c r="A6">
        <v>3</v>
      </c>
      <c r="B6" t="s">
        <v>198</v>
      </c>
      <c r="E6" s="225" t="s">
        <v>143</v>
      </c>
      <c r="F6" s="12"/>
      <c r="G6" s="267"/>
      <c r="H6" s="267"/>
      <c r="I6" s="267"/>
      <c r="J6" s="267"/>
    </row>
    <row r="7" spans="1:10" ht="14.45" x14ac:dyDescent="0.35">
      <c r="A7">
        <v>4</v>
      </c>
      <c r="B7" t="s">
        <v>206</v>
      </c>
      <c r="E7" s="225" t="s">
        <v>143</v>
      </c>
      <c r="F7" s="267"/>
      <c r="G7" s="267"/>
      <c r="H7" s="267"/>
      <c r="I7" s="267"/>
      <c r="J7" s="267"/>
    </row>
    <row r="8" spans="1:10" ht="14.45" x14ac:dyDescent="0.35">
      <c r="A8">
        <v>5</v>
      </c>
      <c r="B8" t="s">
        <v>199</v>
      </c>
      <c r="E8" s="225" t="s">
        <v>143</v>
      </c>
      <c r="F8" s="12"/>
      <c r="G8" s="267"/>
      <c r="H8" s="267"/>
      <c r="I8" s="267"/>
      <c r="J8" s="267"/>
    </row>
    <row r="9" spans="1:10" ht="35.1" customHeight="1" x14ac:dyDescent="0.35">
      <c r="A9">
        <v>6</v>
      </c>
      <c r="B9" t="s">
        <v>203</v>
      </c>
      <c r="E9" s="226" t="s">
        <v>168</v>
      </c>
      <c r="F9" s="267"/>
      <c r="G9" s="267"/>
      <c r="H9" s="267"/>
      <c r="I9" s="267"/>
      <c r="J9" s="267"/>
    </row>
    <row r="10" spans="1:10" ht="14.45" x14ac:dyDescent="0.35">
      <c r="A10">
        <v>7</v>
      </c>
      <c r="B10" t="s">
        <v>200</v>
      </c>
      <c r="E10" s="225" t="s">
        <v>143</v>
      </c>
      <c r="F10" s="265"/>
      <c r="G10" s="267"/>
      <c r="H10" s="267"/>
      <c r="I10" s="267"/>
      <c r="J10" s="267"/>
    </row>
    <row r="11" spans="1:10" ht="35.1" customHeight="1" x14ac:dyDescent="0.35">
      <c r="A11">
        <v>8</v>
      </c>
      <c r="B11" s="358" t="s">
        <v>201</v>
      </c>
      <c r="C11" s="358"/>
      <c r="D11" s="358"/>
      <c r="E11" s="226" t="s">
        <v>168</v>
      </c>
      <c r="F11" s="267" t="s">
        <v>258</v>
      </c>
      <c r="G11" s="267"/>
      <c r="H11" s="267"/>
      <c r="I11" s="267"/>
      <c r="J11" s="267"/>
    </row>
    <row r="12" spans="1:10" ht="30" customHeight="1" x14ac:dyDescent="0.35">
      <c r="A12">
        <v>9</v>
      </c>
      <c r="B12" s="358" t="s">
        <v>202</v>
      </c>
      <c r="C12" s="358"/>
      <c r="D12" s="358"/>
      <c r="E12" s="225" t="s">
        <v>143</v>
      </c>
      <c r="F12" s="268"/>
      <c r="G12" s="267"/>
      <c r="H12" s="267"/>
      <c r="I12" s="267"/>
      <c r="J12" s="267"/>
    </row>
    <row r="13" spans="1:10" ht="14.45" x14ac:dyDescent="0.35">
      <c r="A13">
        <v>10</v>
      </c>
      <c r="B13" s="4" t="s">
        <v>204</v>
      </c>
      <c r="C13" s="252"/>
      <c r="D13" s="252"/>
      <c r="E13" s="225" t="s">
        <v>143</v>
      </c>
      <c r="F13" s="267"/>
      <c r="G13" s="267"/>
      <c r="H13" s="267"/>
      <c r="I13" s="267"/>
      <c r="J13" s="267"/>
    </row>
    <row r="14" spans="1:10" ht="35.1" customHeight="1" x14ac:dyDescent="0.35">
      <c r="A14">
        <v>11</v>
      </c>
      <c r="B14" s="4" t="s">
        <v>205</v>
      </c>
      <c r="C14" s="252"/>
      <c r="D14" s="252"/>
      <c r="E14" s="226" t="s">
        <v>168</v>
      </c>
      <c r="F14" s="267"/>
      <c r="G14" s="267"/>
      <c r="H14" s="267"/>
      <c r="I14" s="267"/>
      <c r="J14" s="267"/>
    </row>
    <row r="15" spans="1:10" ht="14.45" x14ac:dyDescent="0.35">
      <c r="A15">
        <v>11.1</v>
      </c>
      <c r="B15" s="4" t="s">
        <v>207</v>
      </c>
      <c r="C15" s="252"/>
      <c r="D15" s="252"/>
      <c r="E15" s="225" t="s">
        <v>143</v>
      </c>
      <c r="F15" s="267"/>
      <c r="G15" s="267"/>
      <c r="H15" s="267"/>
      <c r="I15" s="267"/>
      <c r="J15" s="267"/>
    </row>
    <row r="16" spans="1:10" ht="35.1" customHeight="1" x14ac:dyDescent="0.35">
      <c r="A16">
        <v>12</v>
      </c>
      <c r="B16" s="4" t="s">
        <v>208</v>
      </c>
      <c r="C16" s="252"/>
      <c r="D16" s="252"/>
      <c r="E16" s="226" t="s">
        <v>168</v>
      </c>
      <c r="F16" s="267"/>
      <c r="G16" s="267"/>
      <c r="H16" s="267"/>
      <c r="I16" s="267"/>
      <c r="J16" s="267"/>
    </row>
    <row r="17" spans="1:12" ht="14.45" x14ac:dyDescent="0.35">
      <c r="A17">
        <v>12.1</v>
      </c>
      <c r="B17" s="4" t="s">
        <v>209</v>
      </c>
      <c r="C17" s="252"/>
      <c r="D17" s="252"/>
      <c r="E17" s="225" t="s">
        <v>143</v>
      </c>
      <c r="F17" s="267"/>
      <c r="G17" s="267"/>
      <c r="H17" s="267"/>
      <c r="I17" s="267"/>
      <c r="J17" s="267"/>
    </row>
    <row r="18" spans="1:12" ht="14.45" x14ac:dyDescent="0.35">
      <c r="A18">
        <v>13</v>
      </c>
      <c r="B18" t="s">
        <v>32</v>
      </c>
      <c r="E18" s="225" t="s">
        <v>144</v>
      </c>
      <c r="F18" s="269"/>
      <c r="G18" s="270"/>
      <c r="H18" s="271"/>
      <c r="I18" s="271"/>
      <c r="J18" s="271"/>
    </row>
    <row r="19" spans="1:12" ht="14.45" x14ac:dyDescent="0.35">
      <c r="A19">
        <v>14</v>
      </c>
      <c r="B19" t="s">
        <v>193</v>
      </c>
      <c r="E19" s="225" t="s">
        <v>143</v>
      </c>
      <c r="F19" s="272"/>
      <c r="G19" s="270"/>
      <c r="H19" s="271"/>
      <c r="I19" s="271"/>
      <c r="J19" s="271"/>
    </row>
    <row r="20" spans="1:12" ht="14.45" x14ac:dyDescent="0.35">
      <c r="A20">
        <v>14.1</v>
      </c>
      <c r="B20" t="s">
        <v>215</v>
      </c>
      <c r="E20" s="225" t="s">
        <v>143</v>
      </c>
      <c r="F20" s="272"/>
      <c r="G20" s="270"/>
      <c r="H20" s="271"/>
      <c r="I20" s="271"/>
      <c r="J20" s="271"/>
    </row>
    <row r="21" spans="1:12" ht="14.45" x14ac:dyDescent="0.35">
      <c r="A21">
        <v>14.2</v>
      </c>
      <c r="B21" t="s">
        <v>216</v>
      </c>
      <c r="E21" s="225"/>
      <c r="F21" s="272"/>
      <c r="G21" s="270"/>
      <c r="H21" s="271"/>
      <c r="I21" s="271"/>
      <c r="J21" s="271"/>
    </row>
    <row r="22" spans="1:12" ht="14.45" x14ac:dyDescent="0.35">
      <c r="A22">
        <v>15</v>
      </c>
      <c r="B22" t="s">
        <v>33</v>
      </c>
      <c r="E22" s="225" t="s">
        <v>143</v>
      </c>
      <c r="F22" s="12"/>
      <c r="G22" s="267"/>
      <c r="H22" s="267"/>
      <c r="I22" s="267"/>
      <c r="J22" s="267"/>
    </row>
    <row r="23" spans="1:12" ht="35.1" customHeight="1" x14ac:dyDescent="0.35">
      <c r="A23">
        <v>16</v>
      </c>
      <c r="B23" t="s">
        <v>119</v>
      </c>
      <c r="E23" s="226" t="s">
        <v>168</v>
      </c>
      <c r="F23" s="267"/>
      <c r="G23" s="267"/>
      <c r="H23" s="267"/>
      <c r="I23" s="267"/>
      <c r="J23" s="267"/>
    </row>
    <row r="24" spans="1:12" ht="35.1" customHeight="1" x14ac:dyDescent="0.35">
      <c r="A24">
        <v>17</v>
      </c>
      <c r="B24" t="s">
        <v>121</v>
      </c>
      <c r="E24" s="226" t="s">
        <v>168</v>
      </c>
      <c r="F24" s="267"/>
      <c r="G24" s="267"/>
      <c r="H24" s="267"/>
      <c r="I24" s="267"/>
      <c r="J24" s="267"/>
    </row>
    <row r="25" spans="1:12" ht="56.25" customHeight="1" x14ac:dyDescent="0.35">
      <c r="A25">
        <v>18</v>
      </c>
      <c r="B25" s="358" t="s">
        <v>160</v>
      </c>
      <c r="C25" s="358"/>
      <c r="D25" s="358"/>
      <c r="E25" s="226" t="s">
        <v>168</v>
      </c>
      <c r="F25" s="267" t="s">
        <v>257</v>
      </c>
      <c r="G25" s="267"/>
      <c r="H25" s="267"/>
      <c r="I25" s="267"/>
      <c r="J25" s="267"/>
    </row>
    <row r="26" spans="1:12" ht="35.1" customHeight="1" x14ac:dyDescent="0.35">
      <c r="A26">
        <v>19</v>
      </c>
      <c r="B26" t="s">
        <v>102</v>
      </c>
      <c r="E26" s="226" t="s">
        <v>168</v>
      </c>
      <c r="F26" s="267" t="s">
        <v>93</v>
      </c>
      <c r="G26" s="267"/>
      <c r="H26" s="267"/>
      <c r="I26" s="267"/>
      <c r="J26" s="267"/>
    </row>
    <row r="27" spans="1:12" ht="14.45" x14ac:dyDescent="0.35">
      <c r="A27">
        <v>20</v>
      </c>
      <c r="B27" t="s">
        <v>122</v>
      </c>
      <c r="E27" s="225" t="s">
        <v>143</v>
      </c>
      <c r="F27" s="267"/>
      <c r="G27" s="267"/>
      <c r="H27" s="267"/>
      <c r="I27" s="267"/>
      <c r="J27" s="267"/>
    </row>
    <row r="28" spans="1:12" ht="30" customHeight="1" x14ac:dyDescent="0.25">
      <c r="A28">
        <v>21</v>
      </c>
      <c r="B28" s="358" t="s">
        <v>130</v>
      </c>
      <c r="C28" s="358"/>
      <c r="D28" s="358"/>
      <c r="E28" s="225" t="s">
        <v>143</v>
      </c>
      <c r="F28" s="368"/>
      <c r="G28" s="368"/>
      <c r="H28" s="368"/>
      <c r="I28" s="368"/>
      <c r="J28" s="368"/>
      <c r="L28" s="227"/>
    </row>
    <row r="29" spans="1:12" ht="58.5" customHeight="1" x14ac:dyDescent="0.25">
      <c r="A29" s="205">
        <v>21.1</v>
      </c>
      <c r="B29" s="358" t="s">
        <v>131</v>
      </c>
      <c r="C29" s="358"/>
      <c r="D29" s="358"/>
      <c r="E29" s="225" t="s">
        <v>143</v>
      </c>
      <c r="F29" s="369"/>
      <c r="G29" s="369"/>
      <c r="H29" s="369"/>
      <c r="I29" s="369"/>
      <c r="J29" s="369"/>
    </row>
    <row r="30" spans="1:12" x14ac:dyDescent="0.25">
      <c r="E30" s="225"/>
      <c r="F30" s="267"/>
      <c r="G30" s="267"/>
      <c r="H30" s="267"/>
      <c r="I30" s="267"/>
      <c r="J30" s="267"/>
    </row>
    <row r="33" spans="2:13" ht="18.600000000000001" x14ac:dyDescent="0.45">
      <c r="B33" s="197" t="s">
        <v>148</v>
      </c>
    </row>
    <row r="34" spans="2:13" thickBot="1" x14ac:dyDescent="0.4"/>
    <row r="35" spans="2:13" ht="14.45" x14ac:dyDescent="0.35">
      <c r="B35" s="191" t="s">
        <v>146</v>
      </c>
      <c r="C35" s="180"/>
      <c r="D35" s="180"/>
      <c r="E35" s="180"/>
      <c r="F35" s="180"/>
      <c r="G35" s="180"/>
      <c r="H35" s="180"/>
      <c r="I35" s="180"/>
      <c r="J35" s="181"/>
    </row>
    <row r="36" spans="2:13" ht="14.45" x14ac:dyDescent="0.35">
      <c r="B36" s="178"/>
      <c r="C36" s="182"/>
      <c r="D36" s="182"/>
      <c r="E36" s="182"/>
      <c r="F36" s="182"/>
      <c r="G36" s="182"/>
      <c r="H36" s="182"/>
      <c r="I36" s="182"/>
      <c r="J36" s="179"/>
    </row>
    <row r="37" spans="2:13" x14ac:dyDescent="0.25">
      <c r="B37" s="178"/>
      <c r="C37" s="183" t="s">
        <v>240</v>
      </c>
      <c r="D37" s="183" t="s">
        <v>241</v>
      </c>
      <c r="E37" s="183" t="s">
        <v>242</v>
      </c>
      <c r="F37" s="183" t="s">
        <v>243</v>
      </c>
      <c r="G37" s="183" t="s">
        <v>239</v>
      </c>
      <c r="H37" s="183" t="s">
        <v>244</v>
      </c>
      <c r="I37" s="183" t="s">
        <v>245</v>
      </c>
      <c r="J37" s="184" t="s">
        <v>246</v>
      </c>
      <c r="K37" s="327"/>
      <c r="L37" s="328"/>
      <c r="M37" s="328"/>
    </row>
    <row r="38" spans="2:13" ht="30" x14ac:dyDescent="0.25">
      <c r="B38" s="329" t="s">
        <v>120</v>
      </c>
      <c r="C38" s="185">
        <v>0</v>
      </c>
      <c r="D38" s="185">
        <v>0</v>
      </c>
      <c r="E38" s="185">
        <v>0</v>
      </c>
      <c r="F38" s="185">
        <v>0</v>
      </c>
      <c r="G38" s="185">
        <v>0</v>
      </c>
      <c r="H38" s="185">
        <v>0</v>
      </c>
      <c r="I38" s="185">
        <v>0</v>
      </c>
      <c r="J38" s="186">
        <v>0</v>
      </c>
    </row>
    <row r="39" spans="2:13" ht="15.75" thickBot="1" x14ac:dyDescent="0.3">
      <c r="B39" s="187"/>
      <c r="C39" s="188"/>
      <c r="D39" s="188"/>
      <c r="E39" s="188"/>
      <c r="F39" s="188"/>
      <c r="G39" s="188"/>
      <c r="H39" s="188"/>
      <c r="I39" s="188"/>
      <c r="J39" s="189"/>
    </row>
    <row r="40" spans="2:13" ht="14.45" x14ac:dyDescent="0.35"/>
    <row r="41" spans="2:13" ht="14.45" x14ac:dyDescent="0.35">
      <c r="B41" s="190" t="s">
        <v>145</v>
      </c>
    </row>
    <row r="42" spans="2:13" ht="14.45" x14ac:dyDescent="0.35"/>
    <row r="43" spans="2:13" ht="30.75" customHeight="1" x14ac:dyDescent="0.35">
      <c r="B43" s="373" t="s">
        <v>237</v>
      </c>
      <c r="C43" s="373"/>
      <c r="D43" s="373"/>
      <c r="E43" s="373"/>
      <c r="F43" s="373"/>
      <c r="G43" s="373"/>
      <c r="H43" s="373"/>
      <c r="I43" s="373"/>
    </row>
    <row r="44" spans="2:13" ht="14.45" x14ac:dyDescent="0.35">
      <c r="B44" s="96" t="s">
        <v>254</v>
      </c>
    </row>
    <row r="46" spans="2:13" ht="29.25" customHeight="1" x14ac:dyDescent="0.35">
      <c r="B46" s="370" t="s">
        <v>159</v>
      </c>
      <c r="C46" s="371"/>
      <c r="D46" s="371"/>
      <c r="E46" s="371"/>
      <c r="F46" s="371"/>
      <c r="G46" s="372"/>
    </row>
    <row r="47" spans="2:13" ht="14.45" x14ac:dyDescent="0.35">
      <c r="B47" s="194"/>
      <c r="D47" s="321">
        <v>2018</v>
      </c>
      <c r="E47" s="321">
        <v>2019</v>
      </c>
      <c r="F47" s="321">
        <v>2020</v>
      </c>
      <c r="G47" s="195"/>
    </row>
    <row r="48" spans="2:13" ht="14.45" x14ac:dyDescent="0.35">
      <c r="B48" s="97" t="s">
        <v>132</v>
      </c>
      <c r="C48" s="98"/>
      <c r="D48" s="193"/>
      <c r="E48" s="192"/>
      <c r="F48" s="196"/>
      <c r="G48" s="99"/>
    </row>
    <row r="49" spans="2:22" ht="14.45" x14ac:dyDescent="0.35"/>
    <row r="50" spans="2:22" ht="14.45" x14ac:dyDescent="0.35">
      <c r="B50" s="224" t="s">
        <v>173</v>
      </c>
    </row>
    <row r="51" spans="2:22" ht="14.45" x14ac:dyDescent="0.35">
      <c r="B51" s="224" t="s">
        <v>175</v>
      </c>
    </row>
    <row r="52" spans="2:22" ht="15.6" x14ac:dyDescent="0.35">
      <c r="B52" s="359">
        <v>2018</v>
      </c>
      <c r="C52" s="360"/>
      <c r="D52" s="360"/>
      <c r="E52" s="360"/>
      <c r="F52" s="360"/>
      <c r="G52" s="360"/>
      <c r="H52" s="361"/>
      <c r="I52" s="362">
        <v>2019</v>
      </c>
      <c r="J52" s="363"/>
      <c r="K52" s="363"/>
      <c r="L52" s="363"/>
      <c r="M52" s="363"/>
      <c r="N52" s="363"/>
      <c r="O52" s="364"/>
      <c r="P52" s="365">
        <v>2020</v>
      </c>
      <c r="Q52" s="366"/>
      <c r="R52" s="366"/>
      <c r="S52" s="366"/>
      <c r="T52" s="366"/>
      <c r="U52" s="366"/>
      <c r="V52" s="367"/>
    </row>
    <row r="53" spans="2:22" ht="35.1" customHeight="1" x14ac:dyDescent="0.35">
      <c r="B53" s="100" t="s">
        <v>123</v>
      </c>
      <c r="C53" s="101" t="s">
        <v>124</v>
      </c>
      <c r="D53" s="101" t="s">
        <v>125</v>
      </c>
      <c r="E53" s="101" t="s">
        <v>126</v>
      </c>
      <c r="F53" s="101" t="s">
        <v>127</v>
      </c>
      <c r="G53" s="101" t="s">
        <v>128</v>
      </c>
      <c r="H53" s="102" t="s">
        <v>129</v>
      </c>
      <c r="I53" s="103" t="s">
        <v>123</v>
      </c>
      <c r="J53" s="104" t="s">
        <v>124</v>
      </c>
      <c r="K53" s="104" t="s">
        <v>125</v>
      </c>
      <c r="L53" s="104" t="s">
        <v>126</v>
      </c>
      <c r="M53" s="104" t="s">
        <v>127</v>
      </c>
      <c r="N53" s="104" t="s">
        <v>128</v>
      </c>
      <c r="O53" s="105" t="s">
        <v>129</v>
      </c>
      <c r="P53" s="106" t="s">
        <v>123</v>
      </c>
      <c r="Q53" s="107" t="s">
        <v>124</v>
      </c>
      <c r="R53" s="107" t="s">
        <v>125</v>
      </c>
      <c r="S53" s="107" t="s">
        <v>126</v>
      </c>
      <c r="T53" s="107" t="s">
        <v>127</v>
      </c>
      <c r="U53" s="107" t="s">
        <v>128</v>
      </c>
      <c r="V53" s="108" t="s">
        <v>129</v>
      </c>
    </row>
    <row r="54" spans="2:22" x14ac:dyDescent="0.25">
      <c r="B54" s="320"/>
      <c r="I54" s="320"/>
      <c r="P54" s="320"/>
    </row>
    <row r="55" spans="2:22" ht="15" customHeight="1" x14ac:dyDescent="0.5">
      <c r="B55" s="323"/>
      <c r="C55" s="323"/>
      <c r="D55" s="323"/>
      <c r="E55" s="323"/>
      <c r="F55" s="322"/>
      <c r="G55" s="322"/>
      <c r="H55" s="322"/>
      <c r="I55" s="322"/>
      <c r="J55" s="322"/>
      <c r="K55" s="322"/>
      <c r="L55" s="322"/>
      <c r="M55" s="322"/>
      <c r="N55" s="322"/>
      <c r="O55" s="322"/>
      <c r="P55" s="322"/>
      <c r="Q55" s="322"/>
      <c r="R55" s="323"/>
      <c r="S55" s="323"/>
      <c r="T55" s="323"/>
      <c r="U55" s="323"/>
      <c r="V55" s="323"/>
    </row>
    <row r="56" spans="2:22" ht="15" customHeight="1" x14ac:dyDescent="0.5">
      <c r="B56" s="323"/>
      <c r="C56" s="323"/>
      <c r="D56" s="323"/>
      <c r="E56" s="323"/>
      <c r="F56" s="322"/>
      <c r="G56" s="322"/>
      <c r="H56" s="322"/>
      <c r="I56" s="322"/>
      <c r="J56" s="322"/>
      <c r="K56" s="322"/>
      <c r="L56" s="322"/>
      <c r="M56" s="322"/>
      <c r="N56" s="322"/>
      <c r="O56" s="322"/>
      <c r="P56" s="322"/>
      <c r="Q56" s="322"/>
      <c r="R56" s="323"/>
      <c r="S56" s="323"/>
      <c r="T56" s="323"/>
      <c r="U56" s="323"/>
      <c r="V56" s="323"/>
    </row>
    <row r="57" spans="2:22" ht="15" customHeight="1" x14ac:dyDescent="0.5">
      <c r="B57" s="323"/>
      <c r="C57" s="323"/>
      <c r="D57" s="323"/>
      <c r="E57" s="323"/>
      <c r="F57" s="322"/>
      <c r="G57" s="322"/>
      <c r="H57" s="322"/>
      <c r="I57" s="322"/>
      <c r="J57" s="322"/>
      <c r="K57" s="322"/>
      <c r="L57" s="322"/>
      <c r="M57" s="322"/>
      <c r="N57" s="322"/>
      <c r="O57" s="322"/>
      <c r="P57" s="322"/>
      <c r="Q57" s="322"/>
      <c r="R57" s="323"/>
      <c r="S57" s="323"/>
      <c r="T57" s="323"/>
      <c r="U57" s="323"/>
      <c r="V57" s="323"/>
    </row>
    <row r="58" spans="2:22" ht="15" customHeight="1" x14ac:dyDescent="0.5">
      <c r="B58" s="323"/>
      <c r="C58" s="323"/>
      <c r="D58" s="323"/>
      <c r="E58" s="323"/>
      <c r="F58" s="322"/>
      <c r="G58" s="322"/>
      <c r="H58" s="322"/>
      <c r="I58" s="322"/>
      <c r="J58" s="322"/>
      <c r="K58" s="322"/>
      <c r="L58" s="322"/>
      <c r="M58" s="322"/>
      <c r="N58" s="322"/>
      <c r="O58" s="322"/>
      <c r="P58" s="322"/>
      <c r="Q58" s="322"/>
      <c r="R58" s="323"/>
      <c r="S58" s="323"/>
      <c r="T58" s="323"/>
      <c r="U58" s="323"/>
      <c r="V58" s="323"/>
    </row>
    <row r="59" spans="2:22" ht="15" customHeight="1" x14ac:dyDescent="0.5">
      <c r="B59" s="323"/>
      <c r="C59" s="323"/>
      <c r="D59" s="323"/>
      <c r="E59" s="323"/>
      <c r="F59" s="322"/>
      <c r="G59" s="322"/>
      <c r="H59" s="322"/>
      <c r="I59" s="322"/>
      <c r="J59" s="322"/>
      <c r="K59" s="322"/>
      <c r="L59" s="322"/>
      <c r="M59" s="322"/>
      <c r="N59" s="322"/>
      <c r="O59" s="322"/>
      <c r="P59" s="322"/>
      <c r="Q59" s="322"/>
      <c r="R59" s="323"/>
      <c r="S59" s="323"/>
      <c r="T59" s="323"/>
      <c r="U59" s="323"/>
      <c r="V59" s="323"/>
    </row>
    <row r="60" spans="2:22" x14ac:dyDescent="0.25">
      <c r="B60" s="320"/>
      <c r="I60" s="320"/>
      <c r="P60" s="320"/>
    </row>
    <row r="61" spans="2:22" x14ac:dyDescent="0.25">
      <c r="B61" s="320"/>
      <c r="I61" s="320"/>
      <c r="P61" s="320"/>
    </row>
    <row r="62" spans="2:22" x14ac:dyDescent="0.25">
      <c r="E62" s="92"/>
      <c r="L62" s="92"/>
      <c r="S62" s="92"/>
    </row>
  </sheetData>
  <mergeCells count="13">
    <mergeCell ref="B2:J2"/>
    <mergeCell ref="B25:D25"/>
    <mergeCell ref="B52:H52"/>
    <mergeCell ref="I52:O52"/>
    <mergeCell ref="P52:V52"/>
    <mergeCell ref="B28:D28"/>
    <mergeCell ref="B29:D29"/>
    <mergeCell ref="F28:J28"/>
    <mergeCell ref="F29:J29"/>
    <mergeCell ref="B46:G46"/>
    <mergeCell ref="B11:D11"/>
    <mergeCell ref="B12:D12"/>
    <mergeCell ref="B43:I43"/>
  </mergeCells>
  <dataValidations count="6">
    <dataValidation type="list" allowBlank="1" showInputMessage="1" showErrorMessage="1" sqref="F26" xr:uid="{00000000-0002-0000-0000-000000000000}">
      <formula1>"Select an Option, None, West, Genesee, Central, North, Mohawk Valley, Capital, Hudson Valley, Millwood, Dunwoodie, New York City, Long Island"</formula1>
    </dataValidation>
    <dataValidation type="list" allowBlank="1" showInputMessage="1" showErrorMessage="1" sqref="F23" xr:uid="{00000000-0002-0000-0000-000001000000}">
      <formula1>"Select an Option,Transmission, Distribution"</formula1>
    </dataValidation>
    <dataValidation type="list" allowBlank="1" showInputMessage="1" showErrorMessage="1" sqref="F24" xr:uid="{00000000-0002-0000-0000-000002000000}">
      <formula1>"Select an Option, NYISO, Utility"</formula1>
    </dataValidation>
    <dataValidation type="list" allowBlank="1" showInputMessage="1" showErrorMessage="1" sqref="F25" xr:uid="{00000000-0002-0000-0000-000003000000}">
      <formula1>"Select an Option, Contract Price, NYISO Reference Bus Price"</formula1>
    </dataValidation>
    <dataValidation type="list" allowBlank="1" showInputMessage="1" showErrorMessage="1" sqref="F11 F13:F14 F16" xr:uid="{00000000-0002-0000-0000-000004000000}">
      <formula1>"Yes, No"</formula1>
    </dataValidation>
    <dataValidation type="list" allowBlank="1" showInputMessage="1" showErrorMessage="1" sqref="F9" xr:uid="{00000000-0002-0000-0000-000005000000}">
      <formula1>"Hydro (10 MW or less),Wind,Direct Combustion Biomass"</formula1>
    </dataValidation>
  </dataValidations>
  <hyperlinks>
    <hyperlink ref="B44" r:id="rId1" xr:uid="{00000000-0004-0000-0000-000000000000}"/>
  </hyperlinks>
  <pageMargins left="0.25" right="0.25" top="0.75" bottom="0.75" header="0.3" footer="0.3"/>
  <pageSetup paperSize="3" scale="7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79"/>
  <sheetViews>
    <sheetView workbookViewId="0">
      <selection activeCell="N28" sqref="N28"/>
    </sheetView>
  </sheetViews>
  <sheetFormatPr defaultRowHeight="15" x14ac:dyDescent="0.25"/>
  <cols>
    <col min="11" max="12" width="2.7109375" customWidth="1"/>
    <col min="13" max="13" width="27" customWidth="1"/>
    <col min="14" max="16" width="13.7109375" customWidth="1"/>
    <col min="17" max="17" width="2.7109375" customWidth="1"/>
    <col min="19" max="21" width="11" customWidth="1"/>
  </cols>
  <sheetData>
    <row r="1" spans="1:22" ht="14.45" x14ac:dyDescent="0.35">
      <c r="A1" t="s">
        <v>29</v>
      </c>
      <c r="E1" s="377">
        <f>+'Pro forma'!E4</f>
        <v>0</v>
      </c>
      <c r="F1" s="377"/>
      <c r="G1" s="377"/>
    </row>
    <row r="2" spans="1:22" ht="14.45" x14ac:dyDescent="0.35">
      <c r="A2" t="s">
        <v>31</v>
      </c>
      <c r="E2" s="12">
        <f>+'Pro forma'!E5</f>
        <v>0</v>
      </c>
      <c r="F2" s="12"/>
      <c r="G2" s="12"/>
    </row>
    <row r="3" spans="1:22" ht="14.45" x14ac:dyDescent="0.35">
      <c r="A3" t="s">
        <v>33</v>
      </c>
      <c r="E3" s="384">
        <f>+'General Data Sheet'!F22</f>
        <v>0</v>
      </c>
      <c r="F3" s="377"/>
      <c r="G3" s="377"/>
    </row>
    <row r="4" spans="1:22" ht="14.45" x14ac:dyDescent="0.35">
      <c r="A4" t="str">
        <f>+'General Data Sheet'!B26</f>
        <v>NYISO Zone</v>
      </c>
      <c r="E4" s="251" t="str">
        <f>+'General Data Sheet'!F26</f>
        <v>North</v>
      </c>
      <c r="F4" s="251"/>
      <c r="G4" s="251"/>
    </row>
    <row r="5" spans="1:22" ht="14.45" x14ac:dyDescent="0.35">
      <c r="A5" t="s">
        <v>194</v>
      </c>
      <c r="E5" s="251" t="str">
        <f>IF(+E4="West","Rest-of-State",IF(+E4="Genesee","Rest-of-State",IF(+E4="Central","Rest-of-State",IF(+E4="North","Rest-of-State",IF(+E4="Mohawk Valley","Rest-of-State",IF(+E4="Capital","Rest-of-State",IF(+E4="Hudson Valley","Lower Hudson Valley",IF(+E4="Millwood","Lower Hudson Valley",IF(+E4="Dunwoodie","Lower Hudson Valley",IF(+E4="New York City","NYC",IF(+E4="Long Island","Long Island","Error")))))))))))</f>
        <v>Rest-of-State</v>
      </c>
      <c r="F5" s="251"/>
      <c r="G5" s="251"/>
    </row>
    <row r="6" spans="1:22" ht="14.45" x14ac:dyDescent="0.35">
      <c r="A6" t="s">
        <v>193</v>
      </c>
      <c r="E6" s="255">
        <f>+'General Data Sheet'!F19</f>
        <v>0</v>
      </c>
      <c r="F6" s="251"/>
      <c r="G6" s="251"/>
    </row>
    <row r="7" spans="1:22" ht="14.45" x14ac:dyDescent="0.35">
      <c r="A7" t="s">
        <v>195</v>
      </c>
      <c r="E7" s="255">
        <f>+'General Data Sheet'!F20</f>
        <v>0</v>
      </c>
      <c r="F7" s="251"/>
      <c r="G7" s="251"/>
    </row>
    <row r="8" spans="1:22" thickBot="1" x14ac:dyDescent="0.4"/>
    <row r="9" spans="1:22" ht="14.45" x14ac:dyDescent="0.35">
      <c r="B9" s="259" t="s">
        <v>192</v>
      </c>
      <c r="C9" s="90"/>
      <c r="D9" s="90"/>
      <c r="E9" s="90"/>
      <c r="F9" s="90"/>
      <c r="G9" s="90"/>
      <c r="H9" s="90"/>
      <c r="I9" s="228"/>
    </row>
    <row r="10" spans="1:22" thickBot="1" x14ac:dyDescent="0.4">
      <c r="B10" s="91"/>
      <c r="I10" s="230"/>
    </row>
    <row r="11" spans="1:22" ht="14.45" x14ac:dyDescent="0.35">
      <c r="B11" s="91"/>
      <c r="C11" s="416" t="s">
        <v>188</v>
      </c>
      <c r="D11" s="416"/>
      <c r="E11" s="416"/>
      <c r="F11" s="416"/>
      <c r="G11" s="416"/>
      <c r="I11" s="230"/>
      <c r="L11" s="89"/>
      <c r="M11" s="90"/>
      <c r="N11" s="90"/>
      <c r="O11" s="90"/>
      <c r="P11" s="90"/>
      <c r="Q11" s="228"/>
    </row>
    <row r="12" spans="1:22" ht="43.5" x14ac:dyDescent="0.35">
      <c r="B12" s="91"/>
      <c r="D12" s="227" t="s">
        <v>189</v>
      </c>
      <c r="E12" s="260" t="s">
        <v>190</v>
      </c>
      <c r="F12" s="260" t="s">
        <v>99</v>
      </c>
      <c r="G12" s="260" t="s">
        <v>191</v>
      </c>
      <c r="I12" s="230"/>
      <c r="L12" s="91"/>
      <c r="N12" s="88">
        <f>+'Pro forma'!O13</f>
        <v>2021</v>
      </c>
      <c r="O12" s="88">
        <f>+'Pro forma'!R13</f>
        <v>2022</v>
      </c>
      <c r="P12" s="88">
        <f>+'Pro forma'!U13</f>
        <v>2023</v>
      </c>
      <c r="Q12" s="230"/>
    </row>
    <row r="13" spans="1:22" ht="14.45" x14ac:dyDescent="0.35">
      <c r="B13" s="91"/>
      <c r="C13">
        <v>2017</v>
      </c>
      <c r="D13" s="92">
        <v>83.396949328085284</v>
      </c>
      <c r="E13" s="92">
        <v>80.43255192272008</v>
      </c>
      <c r="F13" s="92">
        <v>53.028092994018998</v>
      </c>
      <c r="G13" s="92">
        <v>14.373112752886101</v>
      </c>
      <c r="I13" s="230"/>
      <c r="L13" s="91"/>
      <c r="M13" s="254" t="s">
        <v>196</v>
      </c>
      <c r="N13" s="3">
        <f>IF(+$E$5="NYC",VLOOKUP(N12,'Capacity Revenues'!$C13:$G35,2,FALSE),IF(+$E$5="Lower Hudson Valley",VLOOKUP(N12,'Capacity Revenues'!$C13:$G35,3,FALSE),IF(+$E$5="Long Island",VLOOKUP(N12,'Capacity Revenues'!$C13:$G35,4,FALSE),IF(+$E$5="Rest-of-State",VLOOKUP(N12,'Capacity Revenues'!$C13:$G35,5,FALSE),"ERROR"))))</f>
        <v>4.681106853178961</v>
      </c>
      <c r="O13" s="3">
        <f>IF(+$E$5="NYC",VLOOKUP(O12,'Capacity Revenues'!$C13:$G35,2,FALSE),IF(+$E$5="Lower Hudson Valley",VLOOKUP(O12,'Capacity Revenues'!$C13:$G35,3,FALSE),IF(+$E$5="Long Island",VLOOKUP(O12,'Capacity Revenues'!$C13:$G35,4,FALSE),IF(+$E$5="Rest-of-State",VLOOKUP(O12,'Capacity Revenues'!$C13:$G35,5,FALSE),"ERROR"))))</f>
        <v>4.5113466916606351</v>
      </c>
      <c r="P13" s="3">
        <f>IF(+$E$5="NYC",VLOOKUP(P12,'Capacity Revenues'!$C13:$G35,2,FALSE),IF(+$E$5="Lower Hudson Valley",VLOOKUP(P12,'Capacity Revenues'!$C13:$G35,3,FALSE),IF(+$E$5="Long Island",VLOOKUP(P12,'Capacity Revenues'!$C13:$G35,4,FALSE),IF(+$E$5="Rest-of-State",VLOOKUP(P12,'Capacity Revenues'!$C13:$G35,5,FALSE),"ERROR"))))</f>
        <v>4.2728624854554109</v>
      </c>
      <c r="Q13" s="230"/>
      <c r="S13" s="254"/>
      <c r="T13" s="19"/>
      <c r="U13" s="3"/>
      <c r="V13" s="3"/>
    </row>
    <row r="14" spans="1:22" ht="14.45" x14ac:dyDescent="0.35">
      <c r="B14" s="91"/>
      <c r="C14">
        <v>2018</v>
      </c>
      <c r="D14" s="92">
        <v>73.358286025622306</v>
      </c>
      <c r="E14" s="92">
        <v>45.779439422076777</v>
      </c>
      <c r="F14" s="92">
        <v>52.672479977833291</v>
      </c>
      <c r="G14" s="92">
        <v>16.470100952960628</v>
      </c>
      <c r="I14" s="230"/>
      <c r="L14" s="91"/>
      <c r="M14" s="254" t="s">
        <v>195</v>
      </c>
      <c r="N14" s="253">
        <f>+E7</f>
        <v>0</v>
      </c>
      <c r="O14" s="253">
        <f>+E7</f>
        <v>0</v>
      </c>
      <c r="P14" s="253">
        <f>+E7</f>
        <v>0</v>
      </c>
      <c r="Q14" s="230"/>
      <c r="U14" s="253"/>
    </row>
    <row r="15" spans="1:22" thickBot="1" x14ac:dyDescent="0.4">
      <c r="B15" s="91"/>
      <c r="C15">
        <v>2019</v>
      </c>
      <c r="D15" s="92">
        <v>79.390098188633985</v>
      </c>
      <c r="E15" s="92">
        <v>48.303557287674096</v>
      </c>
      <c r="F15" s="92">
        <v>38.89440931007951</v>
      </c>
      <c r="G15" s="92">
        <v>15.724856892920322</v>
      </c>
      <c r="I15" s="230"/>
      <c r="L15" s="264"/>
      <c r="M15" s="262" t="s">
        <v>197</v>
      </c>
      <c r="N15" s="263">
        <f>+N13*1000*N14</f>
        <v>0</v>
      </c>
      <c r="O15" s="263">
        <f t="shared" ref="O15:P15" si="0">+O13*1000*O14</f>
        <v>0</v>
      </c>
      <c r="P15" s="263">
        <f t="shared" si="0"/>
        <v>0</v>
      </c>
      <c r="Q15" s="230"/>
    </row>
    <row r="16" spans="1:22" ht="15.6" thickTop="1" thickBot="1" x14ac:dyDescent="0.4">
      <c r="B16" s="91"/>
      <c r="C16">
        <v>2020</v>
      </c>
      <c r="D16" s="92">
        <v>108.64502425551767</v>
      </c>
      <c r="E16" s="92">
        <v>108.64502425551767</v>
      </c>
      <c r="F16" s="92">
        <v>37.956111729621753</v>
      </c>
      <c r="G16" s="92">
        <v>26.586180591979634</v>
      </c>
      <c r="I16" s="230"/>
      <c r="L16" s="93"/>
      <c r="M16" s="94"/>
      <c r="N16" s="94"/>
      <c r="O16" s="94"/>
      <c r="P16" s="94"/>
      <c r="Q16" s="95"/>
    </row>
    <row r="17" spans="2:16" ht="14.45" x14ac:dyDescent="0.35">
      <c r="B17" s="91"/>
      <c r="C17">
        <v>2021</v>
      </c>
      <c r="D17" s="92">
        <v>142.49536347385066</v>
      </c>
      <c r="E17" s="92">
        <v>142.49536347385066</v>
      </c>
      <c r="F17" s="92">
        <v>39.815295443426834</v>
      </c>
      <c r="G17" s="92">
        <v>31.120303159230758</v>
      </c>
      <c r="I17" s="230"/>
      <c r="N17" s="253"/>
      <c r="O17" s="253"/>
      <c r="P17" s="253"/>
    </row>
    <row r="18" spans="2:16" ht="14.45" x14ac:dyDescent="0.35">
      <c r="B18" s="91"/>
      <c r="C18">
        <v>2022</v>
      </c>
      <c r="D18" s="92">
        <v>142.49269315721827</v>
      </c>
      <c r="E18" s="92">
        <v>142.49269315721827</v>
      </c>
      <c r="F18" s="92">
        <v>40.543827248228638</v>
      </c>
      <c r="G18" s="92">
        <v>31.668035186140962</v>
      </c>
      <c r="I18" s="230"/>
      <c r="N18" s="253"/>
    </row>
    <row r="19" spans="2:16" ht="14.45" x14ac:dyDescent="0.35">
      <c r="B19" s="91"/>
      <c r="C19">
        <v>2023</v>
      </c>
      <c r="D19" s="92">
        <v>142.48381360857096</v>
      </c>
      <c r="E19" s="92">
        <v>142.48381360857096</v>
      </c>
      <c r="F19" s="92">
        <v>43.02809323089776</v>
      </c>
      <c r="G19" s="92">
        <v>32.85390033615603</v>
      </c>
      <c r="I19" s="230"/>
    </row>
    <row r="20" spans="2:16" x14ac:dyDescent="0.25">
      <c r="B20" s="91"/>
      <c r="C20">
        <v>2024</v>
      </c>
      <c r="D20" s="92">
        <v>142.4734957626078</v>
      </c>
      <c r="E20" s="92">
        <v>142.4734957626078</v>
      </c>
      <c r="F20" s="92">
        <v>44.191639327689757</v>
      </c>
      <c r="G20" s="92">
        <v>33.74763569547148</v>
      </c>
      <c r="I20" s="230"/>
    </row>
    <row r="21" spans="2:16" x14ac:dyDescent="0.25">
      <c r="B21" s="91"/>
      <c r="C21">
        <v>2025</v>
      </c>
      <c r="D21" s="92">
        <v>142.45678764590303</v>
      </c>
      <c r="E21" s="92">
        <v>142.45678764590303</v>
      </c>
      <c r="F21" s="92">
        <v>46.52776412694945</v>
      </c>
      <c r="G21" s="92">
        <v>34.865824260667509</v>
      </c>
      <c r="I21" s="230"/>
    </row>
    <row r="22" spans="2:16" x14ac:dyDescent="0.25">
      <c r="B22" s="91"/>
      <c r="C22">
        <v>2026</v>
      </c>
      <c r="D22" s="92">
        <v>142.43527066020377</v>
      </c>
      <c r="E22" s="92">
        <v>142.43527066020377</v>
      </c>
      <c r="F22" s="92">
        <v>48.132253543742301</v>
      </c>
      <c r="G22" s="92">
        <v>35.960498242219664</v>
      </c>
      <c r="I22" s="230"/>
    </row>
    <row r="23" spans="2:16" x14ac:dyDescent="0.25">
      <c r="B23" s="91"/>
      <c r="C23">
        <v>2027</v>
      </c>
      <c r="D23" s="92">
        <v>142.42458523347671</v>
      </c>
      <c r="E23" s="92">
        <v>142.42458523347671</v>
      </c>
      <c r="F23" s="92">
        <v>51.536115283424294</v>
      </c>
      <c r="G23" s="92">
        <v>37.327558812513786</v>
      </c>
      <c r="I23" s="230"/>
    </row>
    <row r="24" spans="2:16" x14ac:dyDescent="0.25">
      <c r="B24" s="91"/>
      <c r="C24">
        <v>2028</v>
      </c>
      <c r="D24" s="92">
        <v>142.41108060808597</v>
      </c>
      <c r="E24" s="92">
        <v>142.41108060808597</v>
      </c>
      <c r="F24" s="92">
        <v>53.717779009056457</v>
      </c>
      <c r="G24" s="92">
        <v>38.460104440381755</v>
      </c>
      <c r="I24" s="230"/>
    </row>
    <row r="25" spans="2:16" x14ac:dyDescent="0.25">
      <c r="B25" s="91"/>
      <c r="C25">
        <v>2029</v>
      </c>
      <c r="D25" s="92">
        <v>142.39761470853688</v>
      </c>
      <c r="E25" s="92">
        <v>142.39761470853688</v>
      </c>
      <c r="F25" s="92">
        <v>55.893879022797549</v>
      </c>
      <c r="G25" s="92">
        <v>39.592838688998071</v>
      </c>
      <c r="I25" s="230"/>
    </row>
    <row r="26" spans="2:16" x14ac:dyDescent="0.25">
      <c r="B26" s="91"/>
      <c r="C26">
        <v>2030</v>
      </c>
      <c r="D26" s="92">
        <v>142.69227208530907</v>
      </c>
      <c r="E26" s="92">
        <v>142.38418742377928</v>
      </c>
      <c r="F26" s="92">
        <v>58.064429899978919</v>
      </c>
      <c r="G26" s="92">
        <v>40.725750915392901</v>
      </c>
      <c r="I26" s="230"/>
    </row>
    <row r="27" spans="2:16" x14ac:dyDescent="0.25">
      <c r="B27" s="91"/>
      <c r="C27">
        <v>2031</v>
      </c>
      <c r="D27" s="92">
        <v>145.08369060716527</v>
      </c>
      <c r="E27" s="92">
        <v>142.37079864308146</v>
      </c>
      <c r="F27" s="92">
        <v>60.229446165161619</v>
      </c>
      <c r="G27" s="92">
        <v>41.858830515328265</v>
      </c>
      <c r="I27" s="230"/>
    </row>
    <row r="28" spans="2:16" x14ac:dyDescent="0.25">
      <c r="B28" s="91"/>
      <c r="C28">
        <v>2032</v>
      </c>
      <c r="D28" s="92">
        <v>147.46614862603721</v>
      </c>
      <c r="E28" s="92">
        <v>142.35744825602936</v>
      </c>
      <c r="F28" s="92">
        <v>62.860761758122969</v>
      </c>
      <c r="G28" s="92">
        <v>42.992066923401474</v>
      </c>
      <c r="I28" s="230"/>
    </row>
    <row r="29" spans="2:16" x14ac:dyDescent="0.25">
      <c r="B29" s="91"/>
      <c r="C29">
        <v>2033</v>
      </c>
      <c r="D29" s="92">
        <v>149.83967970610169</v>
      </c>
      <c r="E29" s="92">
        <v>142.34413615252527</v>
      </c>
      <c r="F29" s="92">
        <v>66.158717789222024</v>
      </c>
      <c r="G29" s="92">
        <v>44.125449613145804</v>
      </c>
      <c r="I29" s="230"/>
    </row>
    <row r="30" spans="2:16" x14ac:dyDescent="0.25">
      <c r="B30" s="91"/>
      <c r="C30">
        <v>2034</v>
      </c>
      <c r="D30" s="92">
        <v>152.20431728584043</v>
      </c>
      <c r="E30" s="92">
        <v>142.33086222278735</v>
      </c>
      <c r="F30" s="92">
        <v>69.445075659965752</v>
      </c>
      <c r="G30" s="92">
        <v>45.258968097130733</v>
      </c>
      <c r="I30" s="230"/>
    </row>
    <row r="31" spans="2:16" x14ac:dyDescent="0.25">
      <c r="B31" s="91"/>
      <c r="C31">
        <v>2035</v>
      </c>
      <c r="D31" s="92">
        <v>154.56009467851095</v>
      </c>
      <c r="E31" s="92">
        <v>142.31762635734879</v>
      </c>
      <c r="F31" s="92">
        <v>72.719876158443014</v>
      </c>
      <c r="G31" s="92">
        <v>46.39261192705807</v>
      </c>
      <c r="I31" s="230"/>
    </row>
    <row r="32" spans="2:16" x14ac:dyDescent="0.25">
      <c r="B32" s="91"/>
      <c r="C32">
        <v>2036</v>
      </c>
      <c r="D32" s="92">
        <v>159.06752024199264</v>
      </c>
      <c r="E32" s="92">
        <v>142.30442844705613</v>
      </c>
      <c r="F32" s="92">
        <v>75.983159929300101</v>
      </c>
      <c r="G32" s="92">
        <v>47.526370693858979</v>
      </c>
      <c r="I32" s="230"/>
    </row>
    <row r="33" spans="2:9" ht="15.75" thickBot="1" x14ac:dyDescent="0.3">
      <c r="B33" s="93"/>
      <c r="C33" s="94">
        <v>2037</v>
      </c>
      <c r="D33" s="261">
        <v>163.95058613106602</v>
      </c>
      <c r="E33" s="261">
        <v>142.29126838306956</v>
      </c>
      <c r="F33" s="261">
        <v>79.234967474245678</v>
      </c>
      <c r="G33" s="261">
        <v>48.660234027786863</v>
      </c>
      <c r="H33" s="94"/>
      <c r="I33" s="95"/>
    </row>
    <row r="79" spans="19:19" x14ac:dyDescent="0.25">
      <c r="S79" t="e">
        <f>'Capacity Revenues'!T14=VLOOKUP(+R11,'Award Cap Calculations'!D7:F21,2,FALSE)</f>
        <v>#N/A</v>
      </c>
    </row>
  </sheetData>
  <mergeCells count="3">
    <mergeCell ref="E1:G1"/>
    <mergeCell ref="E3:G3"/>
    <mergeCell ref="C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Y94"/>
  <sheetViews>
    <sheetView showGridLines="0" topLeftCell="A82" zoomScale="80" zoomScaleNormal="80" workbookViewId="0">
      <selection activeCell="Y90" sqref="Y90"/>
    </sheetView>
  </sheetViews>
  <sheetFormatPr defaultRowHeight="15" x14ac:dyDescent="0.25"/>
  <cols>
    <col min="1" max="1" width="3.85546875" customWidth="1"/>
    <col min="2" max="2" width="4.140625" customWidth="1"/>
    <col min="3" max="3" width="28.42578125" customWidth="1"/>
    <col min="4" max="4" width="5.7109375" customWidth="1"/>
    <col min="5" max="5" width="13.5703125" customWidth="1"/>
    <col min="6" max="6" width="15.85546875" customWidth="1"/>
    <col min="7" max="7" width="11.85546875" customWidth="1"/>
    <col min="8" max="8" width="10.85546875" customWidth="1"/>
    <col min="9" max="9" width="1.7109375" customWidth="1"/>
    <col min="10" max="10" width="12.42578125" customWidth="1"/>
    <col min="11" max="11" width="4" customWidth="1"/>
    <col min="12" max="12" width="13.28515625" customWidth="1"/>
    <col min="13" max="13" width="10.7109375" customWidth="1"/>
    <col min="14" max="14" width="3.42578125" customWidth="1"/>
    <col min="15" max="15" width="11.140625" customWidth="1"/>
    <col min="16" max="16" width="13.140625" customWidth="1"/>
    <col min="17" max="17" width="11.28515625" customWidth="1"/>
    <col min="18" max="18" width="10.5703125" customWidth="1"/>
    <col min="19" max="19" width="12.85546875" customWidth="1"/>
    <col min="20" max="20" width="10.5703125" customWidth="1"/>
    <col min="21" max="21" width="11" customWidth="1"/>
    <col min="22" max="22" width="11.7109375" customWidth="1"/>
    <col min="23" max="23" width="11" customWidth="1"/>
  </cols>
  <sheetData>
    <row r="2" spans="1:25" ht="54" customHeight="1" x14ac:dyDescent="0.35">
      <c r="A2" s="374" t="s">
        <v>220</v>
      </c>
      <c r="B2" s="374"/>
      <c r="C2" s="374"/>
      <c r="D2" s="374"/>
      <c r="E2" s="374"/>
      <c r="F2" s="374"/>
      <c r="G2" s="374"/>
      <c r="H2" s="374"/>
      <c r="I2" s="374"/>
      <c r="J2" s="374"/>
      <c r="K2" s="374"/>
      <c r="L2" s="374"/>
      <c r="M2" s="374"/>
      <c r="N2" s="374"/>
      <c r="O2" s="374"/>
      <c r="P2" s="374"/>
      <c r="Q2" s="374"/>
      <c r="R2" s="374"/>
      <c r="S2" s="374"/>
      <c r="T2" s="374"/>
      <c r="U2" s="374"/>
      <c r="V2" s="374"/>
      <c r="W2" s="374"/>
      <c r="X2" s="374"/>
    </row>
    <row r="3" spans="1:25" ht="14.25" customHeight="1" x14ac:dyDescent="0.35">
      <c r="A3" s="276"/>
      <c r="B3" s="276"/>
      <c r="C3" s="276"/>
      <c r="D3" s="276"/>
      <c r="E3" s="276"/>
      <c r="F3" s="276"/>
      <c r="G3" s="276"/>
      <c r="H3" s="276"/>
      <c r="I3" s="276"/>
      <c r="J3" s="276"/>
      <c r="K3" s="276"/>
      <c r="L3" s="276"/>
      <c r="M3" s="276"/>
      <c r="N3" s="276"/>
      <c r="O3" s="276"/>
      <c r="P3" s="276"/>
      <c r="Q3" s="276"/>
      <c r="R3" s="276"/>
      <c r="S3" s="276"/>
      <c r="T3" s="276"/>
      <c r="U3" s="276"/>
      <c r="V3" s="276"/>
      <c r="W3" s="276"/>
    </row>
    <row r="4" spans="1:25" ht="14.45" x14ac:dyDescent="0.35">
      <c r="A4" t="s">
        <v>29</v>
      </c>
      <c r="E4" s="384">
        <f>+'General Data Sheet'!F6</f>
        <v>0</v>
      </c>
      <c r="F4" s="377"/>
      <c r="G4" s="377"/>
    </row>
    <row r="5" spans="1:25" ht="14.45" x14ac:dyDescent="0.35">
      <c r="A5" t="s">
        <v>31</v>
      </c>
      <c r="E5" s="384">
        <f>+'General Data Sheet'!F5</f>
        <v>0</v>
      </c>
      <c r="F5" s="384"/>
      <c r="G5" s="384"/>
    </row>
    <row r="6" spans="1:25" ht="30.75" customHeight="1" x14ac:dyDescent="0.35">
      <c r="A6" s="358" t="s">
        <v>32</v>
      </c>
      <c r="B6" s="358"/>
      <c r="C6" s="358"/>
      <c r="D6" s="358"/>
      <c r="E6" s="385">
        <f>+'General Data Sheet'!F18</f>
        <v>0</v>
      </c>
      <c r="F6" s="377"/>
      <c r="G6" s="377"/>
    </row>
    <row r="7" spans="1:25" ht="14.45" x14ac:dyDescent="0.35">
      <c r="A7" t="s">
        <v>33</v>
      </c>
      <c r="E7" s="384">
        <f>+'General Data Sheet'!F22</f>
        <v>0</v>
      </c>
      <c r="F7" s="377"/>
      <c r="G7" s="377"/>
    </row>
    <row r="8" spans="1:25" ht="14.45" x14ac:dyDescent="0.35">
      <c r="A8" t="s">
        <v>102</v>
      </c>
      <c r="E8" s="377" t="str">
        <f>+'General Data Sheet'!F26</f>
        <v>North</v>
      </c>
      <c r="F8" s="377"/>
      <c r="G8" s="377"/>
    </row>
    <row r="9" spans="1:25" ht="14.45" x14ac:dyDescent="0.35">
      <c r="X9" s="58"/>
    </row>
    <row r="10" spans="1:25" ht="18.600000000000001" x14ac:dyDescent="0.45">
      <c r="E10" s="382" t="s">
        <v>149</v>
      </c>
      <c r="F10" s="382"/>
      <c r="G10" s="382"/>
      <c r="H10" s="382"/>
      <c r="I10" s="382"/>
      <c r="J10" s="382"/>
      <c r="K10" s="382"/>
      <c r="L10" s="382"/>
      <c r="M10" s="382"/>
      <c r="Y10" s="57"/>
    </row>
    <row r="11" spans="1:25" ht="14.45" x14ac:dyDescent="0.35">
      <c r="E11" s="60"/>
      <c r="F11" s="60"/>
      <c r="G11" s="60"/>
      <c r="H11" s="60"/>
      <c r="I11" s="60"/>
      <c r="J11" s="60"/>
      <c r="K11" s="60"/>
      <c r="L11" s="60"/>
      <c r="M11" s="60"/>
      <c r="N11" s="60"/>
      <c r="O11" s="60"/>
      <c r="P11" s="60"/>
      <c r="Q11" s="60"/>
      <c r="R11" s="60"/>
      <c r="S11" s="60"/>
      <c r="T11" s="60"/>
      <c r="U11" s="60"/>
      <c r="V11" s="60"/>
      <c r="W11" s="60"/>
      <c r="Y11" s="57"/>
    </row>
    <row r="12" spans="1:25" x14ac:dyDescent="0.25">
      <c r="B12" s="1"/>
      <c r="C12" s="1"/>
      <c r="D12" s="1"/>
      <c r="E12" s="383" t="s">
        <v>19</v>
      </c>
      <c r="F12" s="383"/>
      <c r="G12" s="383"/>
      <c r="H12" s="383"/>
      <c r="I12" s="60"/>
      <c r="J12" s="383" t="s">
        <v>141</v>
      </c>
      <c r="K12" s="383"/>
      <c r="L12" s="383"/>
      <c r="M12" s="383"/>
      <c r="N12" s="66"/>
      <c r="O12" s="383" t="s">
        <v>20</v>
      </c>
      <c r="P12" s="383"/>
      <c r="Q12" s="383"/>
      <c r="R12" s="383"/>
      <c r="S12" s="383"/>
      <c r="T12" s="383"/>
      <c r="U12" s="383"/>
      <c r="V12" s="383"/>
      <c r="W12" s="383"/>
      <c r="Y12" s="57"/>
    </row>
    <row r="13" spans="1:25" ht="26.25" x14ac:dyDescent="0.25">
      <c r="A13" s="4"/>
      <c r="E13" s="69">
        <v>2018</v>
      </c>
      <c r="F13" s="69">
        <f>+E13+1</f>
        <v>2019</v>
      </c>
      <c r="G13" s="69">
        <f>+F13+1</f>
        <v>2020</v>
      </c>
      <c r="H13" s="69" t="s">
        <v>24</v>
      </c>
      <c r="I13" s="60"/>
      <c r="J13" s="330" t="s">
        <v>106</v>
      </c>
      <c r="K13" s="330"/>
      <c r="L13" s="330" t="s">
        <v>107</v>
      </c>
      <c r="M13" s="330" t="s">
        <v>108</v>
      </c>
      <c r="N13" s="69"/>
      <c r="O13" s="157">
        <v>2021</v>
      </c>
      <c r="P13" s="331" t="s">
        <v>34</v>
      </c>
      <c r="Q13" s="331" t="s">
        <v>221</v>
      </c>
      <c r="R13" s="332">
        <f>+O13+1</f>
        <v>2022</v>
      </c>
      <c r="S13" s="333" t="s">
        <v>34</v>
      </c>
      <c r="T13" s="333" t="s">
        <v>247</v>
      </c>
      <c r="U13" s="334">
        <f>+R13+1</f>
        <v>2023</v>
      </c>
      <c r="V13" s="335" t="s">
        <v>34</v>
      </c>
      <c r="W13" s="335" t="s">
        <v>248</v>
      </c>
      <c r="Y13" s="57"/>
    </row>
    <row r="14" spans="1:25" x14ac:dyDescent="0.25">
      <c r="A14" s="4"/>
      <c r="E14" s="66"/>
      <c r="F14" s="66"/>
      <c r="G14" s="66"/>
      <c r="H14" s="66"/>
      <c r="I14" s="60"/>
      <c r="J14" s="66"/>
      <c r="K14" s="66"/>
      <c r="L14" s="66"/>
      <c r="M14" s="66"/>
      <c r="N14" s="66"/>
      <c r="O14" s="157"/>
      <c r="P14" s="127"/>
      <c r="Q14" s="127"/>
      <c r="R14" s="161"/>
      <c r="S14" s="137"/>
      <c r="T14" s="137"/>
      <c r="U14" s="164"/>
      <c r="V14" s="147"/>
      <c r="W14" s="147"/>
    </row>
    <row r="15" spans="1:25" ht="14.45" x14ac:dyDescent="0.35">
      <c r="A15" s="62" t="s">
        <v>18</v>
      </c>
      <c r="B15" s="60"/>
      <c r="C15" s="60"/>
      <c r="D15" s="60"/>
      <c r="E15" s="76">
        <f>+Generation!I23</f>
        <v>0</v>
      </c>
      <c r="F15" s="76">
        <f>+Generation!J23</f>
        <v>0</v>
      </c>
      <c r="G15" s="76">
        <f>+Generation!K23</f>
        <v>0</v>
      </c>
      <c r="H15" s="76">
        <f>AVERAGE(E15:G15)</f>
        <v>0</v>
      </c>
      <c r="I15" s="60"/>
      <c r="J15" s="76"/>
      <c r="K15" s="76"/>
      <c r="L15" s="76"/>
      <c r="M15" s="76">
        <f>+H15-J15-L15</f>
        <v>0</v>
      </c>
      <c r="N15" s="67"/>
      <c r="O15" s="128">
        <f>+Generation!F29</f>
        <v>0</v>
      </c>
      <c r="P15" s="128"/>
      <c r="Q15" s="158">
        <f t="shared" ref="Q15:Q24" si="0">+O15+P15</f>
        <v>0</v>
      </c>
      <c r="R15" s="138">
        <f>+O15</f>
        <v>0</v>
      </c>
      <c r="S15" s="138"/>
      <c r="T15" s="162">
        <f t="shared" ref="T15:T24" si="1">+R15+S15</f>
        <v>0</v>
      </c>
      <c r="U15" s="148">
        <f>+O15</f>
        <v>0</v>
      </c>
      <c r="V15" s="148"/>
      <c r="W15" s="165">
        <f>+U15+V15</f>
        <v>0</v>
      </c>
    </row>
    <row r="16" spans="1:25" ht="14.45" x14ac:dyDescent="0.35">
      <c r="A16" s="62"/>
      <c r="B16" s="63"/>
      <c r="C16" s="63"/>
      <c r="D16" s="63"/>
      <c r="E16" s="76"/>
      <c r="F16" s="76"/>
      <c r="G16" s="76"/>
      <c r="H16" s="76"/>
      <c r="I16" s="60"/>
      <c r="J16" s="76"/>
      <c r="K16" s="76"/>
      <c r="L16" s="76"/>
      <c r="M16" s="76"/>
      <c r="N16" s="67"/>
      <c r="O16" s="128"/>
      <c r="P16" s="128"/>
      <c r="Q16" s="158">
        <f t="shared" si="0"/>
        <v>0</v>
      </c>
      <c r="R16" s="138"/>
      <c r="S16" s="138"/>
      <c r="T16" s="162">
        <f t="shared" si="1"/>
        <v>0</v>
      </c>
      <c r="U16" s="148"/>
      <c r="V16" s="148"/>
      <c r="W16" s="165">
        <f t="shared" ref="W16:W24" si="2">+U16+V16</f>
        <v>0</v>
      </c>
    </row>
    <row r="17" spans="1:23" ht="14.45" x14ac:dyDescent="0.35">
      <c r="A17" s="62" t="s">
        <v>104</v>
      </c>
      <c r="B17" s="63"/>
      <c r="C17" s="63"/>
      <c r="D17" s="63"/>
      <c r="E17" s="74" t="e">
        <f>+E21/E15</f>
        <v>#DIV/0!</v>
      </c>
      <c r="F17" s="74" t="e">
        <f t="shared" ref="F17:G17" si="3">+F21/F15</f>
        <v>#DIV/0!</v>
      </c>
      <c r="G17" s="74" t="e">
        <f t="shared" si="3"/>
        <v>#DIV/0!</v>
      </c>
      <c r="H17" s="74"/>
      <c r="I17" s="60"/>
      <c r="J17" s="76"/>
      <c r="K17" s="76"/>
      <c r="L17" s="76"/>
      <c r="M17" s="76"/>
      <c r="N17" s="67"/>
      <c r="O17" s="159"/>
      <c r="P17" s="128"/>
      <c r="Q17" s="158">
        <f t="shared" si="0"/>
        <v>0</v>
      </c>
      <c r="R17" s="138"/>
      <c r="S17" s="138"/>
      <c r="T17" s="162">
        <f t="shared" si="1"/>
        <v>0</v>
      </c>
      <c r="U17" s="148"/>
      <c r="V17" s="148"/>
      <c r="W17" s="165">
        <f t="shared" si="2"/>
        <v>0</v>
      </c>
    </row>
    <row r="18" spans="1:23" ht="14.45" x14ac:dyDescent="0.35">
      <c r="A18" s="62" t="s">
        <v>167</v>
      </c>
      <c r="C18" s="63"/>
      <c r="D18" s="63"/>
      <c r="E18" s="76"/>
      <c r="F18" s="76"/>
      <c r="G18" s="76"/>
      <c r="H18" s="76"/>
      <c r="I18" s="60"/>
      <c r="J18" s="76"/>
      <c r="K18" s="76"/>
      <c r="L18" s="76"/>
      <c r="M18" s="76"/>
      <c r="N18" s="67"/>
      <c r="O18" s="160">
        <f>IF(+LBMP!$D$33="NYISO Reference Bus Price",+LBMP!D49,+LBMP!D56)</f>
        <v>0</v>
      </c>
      <c r="P18" s="128"/>
      <c r="Q18" s="160">
        <f t="shared" si="0"/>
        <v>0</v>
      </c>
      <c r="R18" s="163">
        <f>IF(+LBMP!$D$33="NYISO Reference Bus Price",+LBMP!E49,+LBMP!E56)</f>
        <v>0</v>
      </c>
      <c r="S18" s="138"/>
      <c r="T18" s="163">
        <f t="shared" si="1"/>
        <v>0</v>
      </c>
      <c r="U18" s="166">
        <f>IF(+LBMP!$D$33="NYISO Reference Bus Price",+LBMP!F49,+LBMP!F56)</f>
        <v>0</v>
      </c>
      <c r="V18" s="148"/>
      <c r="W18" s="166">
        <f t="shared" si="2"/>
        <v>0</v>
      </c>
    </row>
    <row r="19" spans="1:23" ht="14.45" x14ac:dyDescent="0.35">
      <c r="A19" s="62"/>
      <c r="B19" s="62"/>
      <c r="C19" s="63"/>
      <c r="D19" s="63"/>
      <c r="E19" s="76"/>
      <c r="F19" s="76"/>
      <c r="G19" s="76"/>
      <c r="H19" s="76"/>
      <c r="I19" s="60"/>
      <c r="J19" s="76"/>
      <c r="K19" s="76"/>
      <c r="L19" s="76"/>
      <c r="M19" s="76"/>
      <c r="N19" s="67"/>
      <c r="O19" s="128"/>
      <c r="P19" s="128"/>
      <c r="Q19" s="158">
        <f t="shared" si="0"/>
        <v>0</v>
      </c>
      <c r="R19" s="138"/>
      <c r="S19" s="138"/>
      <c r="T19" s="162">
        <f t="shared" si="1"/>
        <v>0</v>
      </c>
      <c r="U19" s="148"/>
      <c r="V19" s="148"/>
      <c r="W19" s="165">
        <f t="shared" si="2"/>
        <v>0</v>
      </c>
    </row>
    <row r="20" spans="1:23" ht="14.45" x14ac:dyDescent="0.35">
      <c r="A20" s="62" t="s">
        <v>109</v>
      </c>
      <c r="B20" s="62"/>
      <c r="C20" s="63"/>
      <c r="D20" s="63"/>
      <c r="E20" s="76"/>
      <c r="F20" s="76"/>
      <c r="G20" s="76"/>
      <c r="H20" s="76"/>
      <c r="I20" s="60"/>
      <c r="J20" s="76"/>
      <c r="K20" s="76"/>
      <c r="L20" s="76"/>
      <c r="M20" s="76"/>
      <c r="N20" s="67"/>
      <c r="O20" s="128"/>
      <c r="P20" s="128"/>
      <c r="Q20" s="158">
        <f t="shared" si="0"/>
        <v>0</v>
      </c>
      <c r="R20" s="138"/>
      <c r="S20" s="138"/>
      <c r="T20" s="162">
        <f t="shared" si="1"/>
        <v>0</v>
      </c>
      <c r="U20" s="148"/>
      <c r="V20" s="148"/>
      <c r="W20" s="165">
        <f t="shared" si="2"/>
        <v>0</v>
      </c>
    </row>
    <row r="21" spans="1:23" ht="14.45" x14ac:dyDescent="0.35">
      <c r="A21" s="62"/>
      <c r="B21" s="62" t="s">
        <v>103</v>
      </c>
      <c r="C21" s="63"/>
      <c r="D21" s="63"/>
      <c r="E21" s="119">
        <v>0</v>
      </c>
      <c r="F21" s="119">
        <v>0</v>
      </c>
      <c r="G21" s="119">
        <v>0</v>
      </c>
      <c r="H21" s="119">
        <f t="shared" ref="H21:H24" si="4">AVERAGE(E21:G21)</f>
        <v>0</v>
      </c>
      <c r="I21" s="60"/>
      <c r="J21" s="77"/>
      <c r="K21" s="19"/>
      <c r="L21" s="19"/>
      <c r="M21" s="76">
        <f>+H21+J21+L21</f>
        <v>0</v>
      </c>
      <c r="N21" s="67"/>
      <c r="O21" s="167">
        <f>+O15*O18</f>
        <v>0</v>
      </c>
      <c r="P21" s="128"/>
      <c r="Q21" s="167">
        <f t="shared" si="0"/>
        <v>0</v>
      </c>
      <c r="R21" s="168">
        <f>+R15*R18</f>
        <v>0</v>
      </c>
      <c r="S21" s="138"/>
      <c r="T21" s="168">
        <f t="shared" si="1"/>
        <v>0</v>
      </c>
      <c r="U21" s="169">
        <f>+U15*U18</f>
        <v>0</v>
      </c>
      <c r="V21" s="148"/>
      <c r="W21" s="169">
        <f t="shared" si="2"/>
        <v>0</v>
      </c>
    </row>
    <row r="22" spans="1:23" ht="14.45" x14ac:dyDescent="0.35">
      <c r="A22" s="62"/>
      <c r="B22" s="62" t="s">
        <v>87</v>
      </c>
      <c r="C22" s="63"/>
      <c r="D22" s="63"/>
      <c r="E22" s="76">
        <v>0</v>
      </c>
      <c r="F22" s="76">
        <v>0</v>
      </c>
      <c r="G22" s="76">
        <v>0</v>
      </c>
      <c r="H22" s="76">
        <f t="shared" si="4"/>
        <v>0</v>
      </c>
      <c r="I22" s="60"/>
      <c r="J22" s="77"/>
      <c r="K22" s="19"/>
      <c r="L22" s="19"/>
      <c r="M22" s="76">
        <f t="shared" ref="M22:M24" si="5">+H22+J22+L22</f>
        <v>0</v>
      </c>
      <c r="N22" s="67"/>
      <c r="O22" s="130"/>
      <c r="P22" s="130">
        <f>+'Capacity Revenues'!T22</f>
        <v>0</v>
      </c>
      <c r="Q22" s="256">
        <f t="shared" si="0"/>
        <v>0</v>
      </c>
      <c r="R22" s="140"/>
      <c r="S22" s="140">
        <f>+'Capacity Revenues'!U22</f>
        <v>0</v>
      </c>
      <c r="T22" s="257">
        <f t="shared" si="1"/>
        <v>0</v>
      </c>
      <c r="U22" s="150"/>
      <c r="V22" s="150">
        <f>+'Capacity Revenues'!V22</f>
        <v>0</v>
      </c>
      <c r="W22" s="258">
        <f t="shared" si="2"/>
        <v>0</v>
      </c>
    </row>
    <row r="23" spans="1:23" ht="14.45" x14ac:dyDescent="0.35">
      <c r="A23" s="62"/>
      <c r="B23" s="62" t="s">
        <v>88</v>
      </c>
      <c r="C23" s="63"/>
      <c r="D23" s="63"/>
      <c r="E23" s="76">
        <v>0</v>
      </c>
      <c r="F23" s="76">
        <v>0</v>
      </c>
      <c r="G23" s="76">
        <v>0</v>
      </c>
      <c r="H23" s="76">
        <f t="shared" si="4"/>
        <v>0</v>
      </c>
      <c r="I23" s="60"/>
      <c r="J23" s="77"/>
      <c r="K23" s="19"/>
      <c r="L23" s="19"/>
      <c r="M23" s="76">
        <f t="shared" si="5"/>
        <v>0</v>
      </c>
      <c r="N23" s="67"/>
      <c r="O23" s="128"/>
      <c r="P23" s="128"/>
      <c r="Q23" s="158">
        <f t="shared" si="0"/>
        <v>0</v>
      </c>
      <c r="R23" s="138"/>
      <c r="S23" s="138"/>
      <c r="T23" s="162">
        <f t="shared" si="1"/>
        <v>0</v>
      </c>
      <c r="U23" s="150"/>
      <c r="V23" s="148"/>
      <c r="W23" s="165">
        <f t="shared" si="2"/>
        <v>0</v>
      </c>
    </row>
    <row r="24" spans="1:23" ht="14.45" x14ac:dyDescent="0.35">
      <c r="A24" s="62"/>
      <c r="B24" s="62" t="s">
        <v>89</v>
      </c>
      <c r="C24" s="63"/>
      <c r="D24" s="63"/>
      <c r="E24" s="76">
        <v>0</v>
      </c>
      <c r="F24" s="76">
        <v>0</v>
      </c>
      <c r="G24" s="76">
        <v>0</v>
      </c>
      <c r="H24" s="76">
        <f t="shared" si="4"/>
        <v>0</v>
      </c>
      <c r="I24" s="60"/>
      <c r="J24" s="77"/>
      <c r="K24" s="19"/>
      <c r="L24" s="19"/>
      <c r="M24" s="76">
        <f t="shared" si="5"/>
        <v>0</v>
      </c>
      <c r="N24" s="67"/>
      <c r="O24" s="130">
        <f>IF(+'Projected Capital Expenditures'!$I$12&gt;0,+'Projected Capital Expenditures'!$I$12*Generation!$F$32,0)</f>
        <v>0</v>
      </c>
      <c r="P24" s="128"/>
      <c r="Q24" s="158">
        <f t="shared" si="0"/>
        <v>0</v>
      </c>
      <c r="R24" s="140">
        <f>IF(+'Projected Capital Expenditures'!$I$12&gt;0,+'Projected Capital Expenditures'!$I$12*Generation!$F$32,0)</f>
        <v>0</v>
      </c>
      <c r="S24" s="138"/>
      <c r="T24" s="162">
        <f t="shared" si="1"/>
        <v>0</v>
      </c>
      <c r="U24" s="150">
        <f>IF(+'Projected Capital Expenditures'!$I$12&gt;0,+'Projected Capital Expenditures'!$I$12*Generation!$F$32,0)</f>
        <v>0</v>
      </c>
      <c r="V24" s="148"/>
      <c r="W24" s="165">
        <f t="shared" si="2"/>
        <v>0</v>
      </c>
    </row>
    <row r="25" spans="1:23" ht="14.45" x14ac:dyDescent="0.35">
      <c r="A25" s="62"/>
      <c r="B25" s="62" t="s">
        <v>105</v>
      </c>
      <c r="C25" s="63"/>
      <c r="D25" s="63"/>
      <c r="E25" s="78">
        <f>SUM(E21:E24)</f>
        <v>0</v>
      </c>
      <c r="F25" s="78">
        <f t="shared" ref="F25:M25" si="6">SUM(F21:F24)</f>
        <v>0</v>
      </c>
      <c r="G25" s="78">
        <f t="shared" si="6"/>
        <v>0</v>
      </c>
      <c r="H25" s="78">
        <f>SUM(H21:H24)</f>
        <v>0</v>
      </c>
      <c r="I25" s="60"/>
      <c r="J25" s="78">
        <f t="shared" si="6"/>
        <v>0</v>
      </c>
      <c r="K25" s="19"/>
      <c r="L25" s="78">
        <f t="shared" si="6"/>
        <v>0</v>
      </c>
      <c r="M25" s="78">
        <f t="shared" si="6"/>
        <v>0</v>
      </c>
      <c r="N25" s="67"/>
      <c r="O25" s="129">
        <f t="shared" ref="O25" si="7">SUM(O21:O24)</f>
        <v>0</v>
      </c>
      <c r="P25" s="129">
        <f t="shared" ref="P25" si="8">SUM(P21:P24)</f>
        <v>0</v>
      </c>
      <c r="Q25" s="129">
        <f t="shared" ref="Q25" si="9">SUM(Q21:Q24)</f>
        <v>0</v>
      </c>
      <c r="R25" s="139">
        <f t="shared" ref="R25" si="10">SUM(R21:R24)</f>
        <v>0</v>
      </c>
      <c r="S25" s="139">
        <f t="shared" ref="S25" si="11">SUM(S21:S24)</f>
        <v>0</v>
      </c>
      <c r="T25" s="139">
        <f t="shared" ref="T25" si="12">SUM(T21:T24)</f>
        <v>0</v>
      </c>
      <c r="U25" s="149">
        <f t="shared" ref="U25" si="13">SUM(U21:U24)</f>
        <v>0</v>
      </c>
      <c r="V25" s="149">
        <f t="shared" ref="V25" si="14">SUM(V21:V24)</f>
        <v>0</v>
      </c>
      <c r="W25" s="149">
        <f t="shared" ref="W25" si="15">SUM(W21:W24)</f>
        <v>0</v>
      </c>
    </row>
    <row r="26" spans="1:23" ht="14.45" x14ac:dyDescent="0.35">
      <c r="A26" s="62"/>
      <c r="B26" s="62"/>
      <c r="C26" s="63"/>
      <c r="D26" s="63"/>
      <c r="E26" s="79"/>
      <c r="F26" s="79"/>
      <c r="G26" s="79"/>
      <c r="H26" s="76"/>
      <c r="I26" s="60"/>
      <c r="J26" s="77"/>
      <c r="K26" s="19"/>
      <c r="L26" s="19"/>
      <c r="M26" s="76"/>
      <c r="N26" s="67"/>
      <c r="O26" s="130"/>
      <c r="P26" s="130"/>
      <c r="Q26" s="130"/>
      <c r="R26" s="140"/>
      <c r="S26" s="140"/>
      <c r="T26" s="140"/>
      <c r="U26" s="150"/>
      <c r="V26" s="150"/>
      <c r="W26" s="150"/>
    </row>
    <row r="27" spans="1:23" x14ac:dyDescent="0.25">
      <c r="A27" s="62"/>
      <c r="B27" s="62" t="s">
        <v>15</v>
      </c>
      <c r="C27" s="63"/>
      <c r="D27" s="63"/>
      <c r="E27" s="79">
        <v>0</v>
      </c>
      <c r="F27" s="79">
        <v>0</v>
      </c>
      <c r="G27" s="79">
        <v>0</v>
      </c>
      <c r="H27" s="76">
        <f t="shared" ref="H27" si="16">AVERAGE(E27:G27)</f>
        <v>0</v>
      </c>
      <c r="I27" s="60"/>
      <c r="J27" s="77"/>
      <c r="K27" s="19"/>
      <c r="L27" s="19"/>
      <c r="M27" s="76">
        <f>+H27+J27+L27</f>
        <v>0</v>
      </c>
      <c r="N27" s="67"/>
      <c r="O27" s="130">
        <f>+M27</f>
        <v>0</v>
      </c>
      <c r="P27" s="130"/>
      <c r="Q27" s="130">
        <f>+O27+P27</f>
        <v>0</v>
      </c>
      <c r="R27" s="140">
        <f>+N27-O27-Q27</f>
        <v>0</v>
      </c>
      <c r="S27" s="140">
        <v>0</v>
      </c>
      <c r="T27" s="140">
        <f>+R27+S27</f>
        <v>0</v>
      </c>
      <c r="U27" s="150">
        <f t="shared" ref="U27" si="17">+Q27-R27-T27</f>
        <v>0</v>
      </c>
      <c r="V27" s="150">
        <f t="shared" ref="V27" si="18">+R27-S27-U27</f>
        <v>0</v>
      </c>
      <c r="W27" s="150">
        <f>+U27+V27</f>
        <v>0</v>
      </c>
    </row>
    <row r="28" spans="1:23" x14ac:dyDescent="0.25">
      <c r="A28" s="62"/>
      <c r="B28" s="62"/>
      <c r="C28" s="63" t="s">
        <v>12</v>
      </c>
      <c r="D28" s="63"/>
      <c r="E28" s="120">
        <f>+E27+E25</f>
        <v>0</v>
      </c>
      <c r="F28" s="120">
        <f t="shared" ref="F28:M28" si="19">+F27+F25</f>
        <v>0</v>
      </c>
      <c r="G28" s="120">
        <f t="shared" si="19"/>
        <v>0</v>
      </c>
      <c r="H28" s="120">
        <f t="shared" ref="H28" si="20">AVERAGE(E28:G28)</f>
        <v>0</v>
      </c>
      <c r="I28" s="60"/>
      <c r="J28" s="78">
        <f t="shared" si="19"/>
        <v>0</v>
      </c>
      <c r="K28" s="19"/>
      <c r="L28" s="78">
        <f t="shared" si="19"/>
        <v>0</v>
      </c>
      <c r="M28" s="78">
        <f t="shared" si="19"/>
        <v>0</v>
      </c>
      <c r="N28" s="67"/>
      <c r="O28" s="170">
        <f t="shared" ref="O28" si="21">+O27+O25</f>
        <v>0</v>
      </c>
      <c r="P28" s="170">
        <f t="shared" ref="P28" si="22">+P27+P25</f>
        <v>0</v>
      </c>
      <c r="Q28" s="170">
        <f t="shared" ref="Q28" si="23">+Q27+Q25</f>
        <v>0</v>
      </c>
      <c r="R28" s="171">
        <f t="shared" ref="R28" si="24">+R27+R25</f>
        <v>0</v>
      </c>
      <c r="S28" s="171">
        <f t="shared" ref="S28" si="25">+S27+S25</f>
        <v>0</v>
      </c>
      <c r="T28" s="171">
        <f t="shared" ref="T28" si="26">+T27+T25</f>
        <v>0</v>
      </c>
      <c r="U28" s="172">
        <f t="shared" ref="U28" si="27">+U27+U25</f>
        <v>0</v>
      </c>
      <c r="V28" s="172">
        <f t="shared" ref="V28" si="28">+V27+V25</f>
        <v>0</v>
      </c>
      <c r="W28" s="172">
        <f t="shared" ref="W28" si="29">+W27+W25</f>
        <v>0</v>
      </c>
    </row>
    <row r="29" spans="1:23" x14ac:dyDescent="0.25">
      <c r="A29" s="62"/>
      <c r="B29" s="62"/>
      <c r="C29" s="63"/>
      <c r="D29" s="63"/>
      <c r="E29" s="79"/>
      <c r="F29" s="79"/>
      <c r="G29" s="79"/>
      <c r="H29" s="76"/>
      <c r="I29" s="60"/>
      <c r="J29" s="77"/>
      <c r="K29" s="19"/>
      <c r="L29" s="19"/>
      <c r="M29" s="76"/>
      <c r="N29" s="67"/>
      <c r="O29" s="128"/>
      <c r="P29" s="128"/>
      <c r="Q29" s="128"/>
      <c r="R29" s="138"/>
      <c r="S29" s="138"/>
      <c r="T29" s="138"/>
      <c r="U29" s="148"/>
      <c r="V29" s="148"/>
      <c r="W29" s="148"/>
    </row>
    <row r="30" spans="1:23" x14ac:dyDescent="0.25">
      <c r="A30" s="62"/>
      <c r="B30" s="62"/>
      <c r="C30" s="63"/>
      <c r="D30" s="63"/>
      <c r="E30" s="76"/>
      <c r="F30" s="76"/>
      <c r="G30" s="76"/>
      <c r="H30" s="76"/>
      <c r="I30" s="60"/>
      <c r="J30" s="77"/>
      <c r="K30" s="19"/>
      <c r="L30" s="19"/>
      <c r="M30" s="76"/>
      <c r="N30" s="68"/>
      <c r="O30" s="128"/>
      <c r="P30" s="131"/>
      <c r="Q30" s="131"/>
      <c r="R30" s="141"/>
      <c r="S30" s="141"/>
      <c r="T30" s="141"/>
      <c r="U30" s="151"/>
      <c r="V30" s="151"/>
      <c r="W30" s="151"/>
    </row>
    <row r="31" spans="1:23" x14ac:dyDescent="0.25">
      <c r="A31" s="62" t="s">
        <v>13</v>
      </c>
      <c r="B31" s="63"/>
      <c r="C31" s="63"/>
      <c r="D31" s="63"/>
      <c r="E31" s="76"/>
      <c r="F31" s="76"/>
      <c r="G31" s="76"/>
      <c r="H31" s="76"/>
      <c r="I31" s="60"/>
      <c r="J31" s="77"/>
      <c r="K31" s="19"/>
      <c r="L31" s="19"/>
      <c r="M31" s="76"/>
      <c r="N31" s="60"/>
      <c r="O31" s="132"/>
      <c r="P31" s="132"/>
      <c r="Q31" s="132"/>
      <c r="R31" s="142"/>
      <c r="S31" s="142"/>
      <c r="T31" s="142"/>
      <c r="U31" s="152"/>
      <c r="V31" s="152"/>
      <c r="W31" s="152"/>
    </row>
    <row r="32" spans="1:23" x14ac:dyDescent="0.25">
      <c r="A32" s="62"/>
      <c r="B32" s="62" t="s">
        <v>54</v>
      </c>
      <c r="C32" s="62"/>
      <c r="D32" s="62"/>
      <c r="E32" s="76">
        <v>0</v>
      </c>
      <c r="F32" s="76">
        <v>0</v>
      </c>
      <c r="G32" s="76">
        <v>0</v>
      </c>
      <c r="H32" s="76">
        <f t="shared" ref="H32:H50" si="30">AVERAGE(E32:G32)</f>
        <v>0</v>
      </c>
      <c r="I32" s="60"/>
      <c r="J32" s="19"/>
      <c r="K32" s="77"/>
      <c r="L32" s="19"/>
      <c r="M32" s="76">
        <f t="shared" ref="M32:M38" si="31">+H32+J32+L32</f>
        <v>0</v>
      </c>
      <c r="N32" s="60"/>
      <c r="O32" s="167">
        <f t="shared" ref="O32:O38" si="32">+M32</f>
        <v>0</v>
      </c>
      <c r="P32" s="167">
        <f t="shared" ref="P32:P38" si="33">+O32*$G$87</f>
        <v>0</v>
      </c>
      <c r="Q32" s="173">
        <f>+O32+P32</f>
        <v>0</v>
      </c>
      <c r="R32" s="168">
        <f>+Q32</f>
        <v>0</v>
      </c>
      <c r="S32" s="168">
        <f t="shared" ref="S32:S38" si="34">+R32*$G$87</f>
        <v>0</v>
      </c>
      <c r="T32" s="174">
        <f>+R32+S32</f>
        <v>0</v>
      </c>
      <c r="U32" s="169">
        <f>+T32</f>
        <v>0</v>
      </c>
      <c r="V32" s="169">
        <f t="shared" ref="V32:V38" si="35">+U32*$G$87</f>
        <v>0</v>
      </c>
      <c r="W32" s="175">
        <f>+U32+V32</f>
        <v>0</v>
      </c>
    </row>
    <row r="33" spans="1:23" x14ac:dyDescent="0.25">
      <c r="A33" s="62"/>
      <c r="B33" s="62" t="s">
        <v>55</v>
      </c>
      <c r="C33" s="62"/>
      <c r="D33" s="62"/>
      <c r="E33" s="76">
        <v>0</v>
      </c>
      <c r="F33" s="76">
        <v>0</v>
      </c>
      <c r="G33" s="76">
        <v>0</v>
      </c>
      <c r="H33" s="76">
        <f t="shared" ref="H33:H38" si="36">AVERAGE(E33:G33)</f>
        <v>0</v>
      </c>
      <c r="I33" s="60"/>
      <c r="J33" s="19"/>
      <c r="K33" s="77"/>
      <c r="L33" s="19"/>
      <c r="M33" s="76">
        <f t="shared" si="31"/>
        <v>0</v>
      </c>
      <c r="N33" s="69"/>
      <c r="O33" s="128">
        <f t="shared" si="32"/>
        <v>0</v>
      </c>
      <c r="P33" s="128">
        <f t="shared" si="33"/>
        <v>0</v>
      </c>
      <c r="Q33" s="158">
        <f t="shared" ref="Q33:Q74" si="37">+O33+P33</f>
        <v>0</v>
      </c>
      <c r="R33" s="138">
        <f t="shared" ref="R33:R74" si="38">+Q33</f>
        <v>0</v>
      </c>
      <c r="S33" s="138">
        <f t="shared" si="34"/>
        <v>0</v>
      </c>
      <c r="T33" s="162">
        <f t="shared" ref="T33:T74" si="39">+R33+S33</f>
        <v>0</v>
      </c>
      <c r="U33" s="148">
        <f t="shared" ref="U33:U74" si="40">+T33</f>
        <v>0</v>
      </c>
      <c r="V33" s="148">
        <f t="shared" si="35"/>
        <v>0</v>
      </c>
      <c r="W33" s="165">
        <f t="shared" ref="W33:W74" si="41">+U33+V33</f>
        <v>0</v>
      </c>
    </row>
    <row r="34" spans="1:23" x14ac:dyDescent="0.25">
      <c r="A34" s="62"/>
      <c r="B34" s="62" t="s">
        <v>56</v>
      </c>
      <c r="C34" s="62"/>
      <c r="D34" s="62"/>
      <c r="E34" s="76">
        <v>0</v>
      </c>
      <c r="F34" s="76">
        <v>0</v>
      </c>
      <c r="G34" s="76">
        <v>0</v>
      </c>
      <c r="H34" s="76">
        <f t="shared" si="36"/>
        <v>0</v>
      </c>
      <c r="I34" s="60"/>
      <c r="J34" s="19"/>
      <c r="K34" s="77"/>
      <c r="L34" s="19"/>
      <c r="M34" s="76">
        <f t="shared" si="31"/>
        <v>0</v>
      </c>
      <c r="N34" s="69"/>
      <c r="O34" s="128">
        <f t="shared" si="32"/>
        <v>0</v>
      </c>
      <c r="P34" s="128">
        <f t="shared" si="33"/>
        <v>0</v>
      </c>
      <c r="Q34" s="158">
        <f t="shared" si="37"/>
        <v>0</v>
      </c>
      <c r="R34" s="138">
        <f t="shared" si="38"/>
        <v>0</v>
      </c>
      <c r="S34" s="138">
        <f t="shared" si="34"/>
        <v>0</v>
      </c>
      <c r="T34" s="162">
        <f t="shared" si="39"/>
        <v>0</v>
      </c>
      <c r="U34" s="148">
        <f t="shared" si="40"/>
        <v>0</v>
      </c>
      <c r="V34" s="148">
        <f t="shared" si="35"/>
        <v>0</v>
      </c>
      <c r="W34" s="165">
        <f t="shared" si="41"/>
        <v>0</v>
      </c>
    </row>
    <row r="35" spans="1:23" x14ac:dyDescent="0.25">
      <c r="A35" s="62"/>
      <c r="B35" s="62" t="s">
        <v>57</v>
      </c>
      <c r="C35" s="62"/>
      <c r="D35" s="62"/>
      <c r="E35" s="76">
        <v>0</v>
      </c>
      <c r="F35" s="76">
        <v>0</v>
      </c>
      <c r="G35" s="76">
        <v>0</v>
      </c>
      <c r="H35" s="76">
        <f t="shared" si="36"/>
        <v>0</v>
      </c>
      <c r="I35" s="60"/>
      <c r="J35" s="19"/>
      <c r="K35" s="77"/>
      <c r="L35" s="19"/>
      <c r="M35" s="76">
        <f t="shared" si="31"/>
        <v>0</v>
      </c>
      <c r="N35" s="70"/>
      <c r="O35" s="128">
        <f t="shared" si="32"/>
        <v>0</v>
      </c>
      <c r="P35" s="128">
        <f t="shared" si="33"/>
        <v>0</v>
      </c>
      <c r="Q35" s="158">
        <f t="shared" si="37"/>
        <v>0</v>
      </c>
      <c r="R35" s="138">
        <f t="shared" si="38"/>
        <v>0</v>
      </c>
      <c r="S35" s="138">
        <f t="shared" si="34"/>
        <v>0</v>
      </c>
      <c r="T35" s="162">
        <f t="shared" si="39"/>
        <v>0</v>
      </c>
      <c r="U35" s="148">
        <f t="shared" si="40"/>
        <v>0</v>
      </c>
      <c r="V35" s="148">
        <f t="shared" si="35"/>
        <v>0</v>
      </c>
      <c r="W35" s="165">
        <f t="shared" si="41"/>
        <v>0</v>
      </c>
    </row>
    <row r="36" spans="1:23" x14ac:dyDescent="0.25">
      <c r="A36" s="62"/>
      <c r="B36" s="62" t="s">
        <v>58</v>
      </c>
      <c r="C36" s="62"/>
      <c r="D36" s="62"/>
      <c r="E36" s="76">
        <v>0</v>
      </c>
      <c r="F36" s="76">
        <v>0</v>
      </c>
      <c r="G36" s="76">
        <v>0</v>
      </c>
      <c r="H36" s="76">
        <f t="shared" si="36"/>
        <v>0</v>
      </c>
      <c r="I36" s="60"/>
      <c r="J36" s="19"/>
      <c r="K36" s="77"/>
      <c r="L36" s="19"/>
      <c r="M36" s="76">
        <f t="shared" si="31"/>
        <v>0</v>
      </c>
      <c r="N36" s="68"/>
      <c r="O36" s="128">
        <f t="shared" si="32"/>
        <v>0</v>
      </c>
      <c r="P36" s="128">
        <f t="shared" si="33"/>
        <v>0</v>
      </c>
      <c r="Q36" s="158">
        <f t="shared" si="37"/>
        <v>0</v>
      </c>
      <c r="R36" s="138">
        <f t="shared" si="38"/>
        <v>0</v>
      </c>
      <c r="S36" s="138">
        <f t="shared" si="34"/>
        <v>0</v>
      </c>
      <c r="T36" s="162">
        <f t="shared" si="39"/>
        <v>0</v>
      </c>
      <c r="U36" s="148">
        <f t="shared" si="40"/>
        <v>0</v>
      </c>
      <c r="V36" s="148">
        <f t="shared" si="35"/>
        <v>0</v>
      </c>
      <c r="W36" s="165">
        <f t="shared" si="41"/>
        <v>0</v>
      </c>
    </row>
    <row r="37" spans="1:23" x14ac:dyDescent="0.25">
      <c r="A37" s="62"/>
      <c r="B37" s="62" t="s">
        <v>59</v>
      </c>
      <c r="C37" s="62"/>
      <c r="D37" s="62"/>
      <c r="E37" s="76">
        <v>0</v>
      </c>
      <c r="F37" s="76">
        <v>0</v>
      </c>
      <c r="G37" s="76">
        <v>0</v>
      </c>
      <c r="H37" s="76">
        <f t="shared" si="36"/>
        <v>0</v>
      </c>
      <c r="I37" s="60"/>
      <c r="J37" s="19"/>
      <c r="K37" s="77"/>
      <c r="L37" s="19"/>
      <c r="M37" s="76">
        <f t="shared" si="31"/>
        <v>0</v>
      </c>
      <c r="N37" s="68"/>
      <c r="O37" s="128">
        <f t="shared" si="32"/>
        <v>0</v>
      </c>
      <c r="P37" s="128">
        <f t="shared" si="33"/>
        <v>0</v>
      </c>
      <c r="Q37" s="158">
        <f t="shared" si="37"/>
        <v>0</v>
      </c>
      <c r="R37" s="138">
        <f t="shared" si="38"/>
        <v>0</v>
      </c>
      <c r="S37" s="138">
        <f t="shared" si="34"/>
        <v>0</v>
      </c>
      <c r="T37" s="162">
        <f t="shared" si="39"/>
        <v>0</v>
      </c>
      <c r="U37" s="148">
        <f t="shared" si="40"/>
        <v>0</v>
      </c>
      <c r="V37" s="148">
        <f t="shared" si="35"/>
        <v>0</v>
      </c>
      <c r="W37" s="165">
        <f t="shared" si="41"/>
        <v>0</v>
      </c>
    </row>
    <row r="38" spans="1:23" x14ac:dyDescent="0.25">
      <c r="A38" s="62"/>
      <c r="B38" s="62" t="s">
        <v>60</v>
      </c>
      <c r="C38" s="62"/>
      <c r="D38" s="62"/>
      <c r="E38" s="76">
        <v>0</v>
      </c>
      <c r="F38" s="76">
        <v>0</v>
      </c>
      <c r="G38" s="76">
        <v>0</v>
      </c>
      <c r="H38" s="76">
        <f t="shared" si="36"/>
        <v>0</v>
      </c>
      <c r="I38" s="60"/>
      <c r="J38" s="19"/>
      <c r="K38" s="80"/>
      <c r="L38" s="19"/>
      <c r="M38" s="76">
        <f t="shared" si="31"/>
        <v>0</v>
      </c>
      <c r="N38" s="68"/>
      <c r="O38" s="128">
        <f t="shared" si="32"/>
        <v>0</v>
      </c>
      <c r="P38" s="128">
        <f t="shared" si="33"/>
        <v>0</v>
      </c>
      <c r="Q38" s="158">
        <f t="shared" si="37"/>
        <v>0</v>
      </c>
      <c r="R38" s="138">
        <f t="shared" si="38"/>
        <v>0</v>
      </c>
      <c r="S38" s="138">
        <f t="shared" si="34"/>
        <v>0</v>
      </c>
      <c r="T38" s="162">
        <f t="shared" si="39"/>
        <v>0</v>
      </c>
      <c r="U38" s="148">
        <f t="shared" si="40"/>
        <v>0</v>
      </c>
      <c r="V38" s="148">
        <f t="shared" si="35"/>
        <v>0</v>
      </c>
      <c r="W38" s="165">
        <f t="shared" si="41"/>
        <v>0</v>
      </c>
    </row>
    <row r="39" spans="1:23" x14ac:dyDescent="0.25">
      <c r="A39" s="62"/>
      <c r="B39" s="62" t="s">
        <v>61</v>
      </c>
      <c r="C39" s="62"/>
      <c r="D39" s="62"/>
      <c r="E39" s="76"/>
      <c r="F39" s="76"/>
      <c r="G39" s="76"/>
      <c r="H39" s="76"/>
      <c r="I39" s="60"/>
      <c r="J39" s="19"/>
      <c r="K39" s="19"/>
      <c r="L39" s="77"/>
      <c r="M39" s="76"/>
      <c r="N39" s="68"/>
      <c r="O39" s="128"/>
      <c r="P39" s="128"/>
      <c r="Q39" s="158"/>
      <c r="R39" s="138"/>
      <c r="S39" s="138"/>
      <c r="T39" s="162"/>
      <c r="U39" s="148"/>
      <c r="V39" s="148"/>
      <c r="W39" s="165"/>
    </row>
    <row r="40" spans="1:23" x14ac:dyDescent="0.25">
      <c r="A40" s="62"/>
      <c r="B40" s="62"/>
      <c r="C40" s="62" t="s">
        <v>62</v>
      </c>
      <c r="D40" s="62"/>
      <c r="E40" s="76">
        <v>0</v>
      </c>
      <c r="F40" s="76">
        <v>0</v>
      </c>
      <c r="G40" s="76">
        <v>0</v>
      </c>
      <c r="H40" s="76">
        <f t="shared" ref="H40:H47" si="42">AVERAGE(E40:G40)</f>
        <v>0</v>
      </c>
      <c r="I40" s="60"/>
      <c r="J40" s="19"/>
      <c r="K40" s="19"/>
      <c r="L40" s="77"/>
      <c r="M40" s="76">
        <f t="shared" ref="M40:M48" si="43">+H40+J40+L40</f>
        <v>0</v>
      </c>
      <c r="N40" s="71"/>
      <c r="O40" s="128">
        <f t="shared" ref="O40:O48" si="44">+M40</f>
        <v>0</v>
      </c>
      <c r="P40" s="128">
        <f t="shared" ref="P40:P48" si="45">+O40*$G$87</f>
        <v>0</v>
      </c>
      <c r="Q40" s="158">
        <f t="shared" si="37"/>
        <v>0</v>
      </c>
      <c r="R40" s="138">
        <f t="shared" si="38"/>
        <v>0</v>
      </c>
      <c r="S40" s="138">
        <f t="shared" ref="S40:S48" si="46">+R40*$G$87</f>
        <v>0</v>
      </c>
      <c r="T40" s="162">
        <f t="shared" si="39"/>
        <v>0</v>
      </c>
      <c r="U40" s="148">
        <f t="shared" si="40"/>
        <v>0</v>
      </c>
      <c r="V40" s="148">
        <f t="shared" ref="V40:V48" si="47">+U40*$G$87</f>
        <v>0</v>
      </c>
      <c r="W40" s="165">
        <f t="shared" si="41"/>
        <v>0</v>
      </c>
    </row>
    <row r="41" spans="1:23" x14ac:dyDescent="0.25">
      <c r="A41" s="62"/>
      <c r="B41" s="62"/>
      <c r="C41" s="62" t="s">
        <v>63</v>
      </c>
      <c r="D41" s="62"/>
      <c r="E41" s="76">
        <v>0</v>
      </c>
      <c r="F41" s="76">
        <v>0</v>
      </c>
      <c r="G41" s="76">
        <v>0</v>
      </c>
      <c r="H41" s="76">
        <f t="shared" si="42"/>
        <v>0</v>
      </c>
      <c r="I41" s="60"/>
      <c r="J41" s="19"/>
      <c r="K41" s="19"/>
      <c r="L41" s="77"/>
      <c r="M41" s="76">
        <f t="shared" si="43"/>
        <v>0</v>
      </c>
      <c r="N41" s="68"/>
      <c r="O41" s="128">
        <f t="shared" si="44"/>
        <v>0</v>
      </c>
      <c r="P41" s="128">
        <f t="shared" si="45"/>
        <v>0</v>
      </c>
      <c r="Q41" s="158">
        <f t="shared" si="37"/>
        <v>0</v>
      </c>
      <c r="R41" s="138">
        <f t="shared" si="38"/>
        <v>0</v>
      </c>
      <c r="S41" s="138">
        <f t="shared" si="46"/>
        <v>0</v>
      </c>
      <c r="T41" s="162">
        <f t="shared" si="39"/>
        <v>0</v>
      </c>
      <c r="U41" s="148">
        <f t="shared" si="40"/>
        <v>0</v>
      </c>
      <c r="V41" s="148">
        <f t="shared" si="47"/>
        <v>0</v>
      </c>
      <c r="W41" s="165">
        <f t="shared" si="41"/>
        <v>0</v>
      </c>
    </row>
    <row r="42" spans="1:23" x14ac:dyDescent="0.25">
      <c r="A42" s="62"/>
      <c r="B42" s="62"/>
      <c r="C42" s="62" t="s">
        <v>64</v>
      </c>
      <c r="D42" s="62"/>
      <c r="E42" s="76">
        <v>0</v>
      </c>
      <c r="F42" s="76">
        <v>0</v>
      </c>
      <c r="G42" s="76">
        <v>0</v>
      </c>
      <c r="H42" s="76">
        <f t="shared" si="42"/>
        <v>0</v>
      </c>
      <c r="I42" s="60"/>
      <c r="J42" s="19"/>
      <c r="K42" s="19"/>
      <c r="L42" s="77"/>
      <c r="M42" s="76">
        <f t="shared" si="43"/>
        <v>0</v>
      </c>
      <c r="N42" s="68"/>
      <c r="O42" s="128">
        <f t="shared" si="44"/>
        <v>0</v>
      </c>
      <c r="P42" s="128">
        <f t="shared" si="45"/>
        <v>0</v>
      </c>
      <c r="Q42" s="158">
        <f t="shared" si="37"/>
        <v>0</v>
      </c>
      <c r="R42" s="138">
        <f t="shared" si="38"/>
        <v>0</v>
      </c>
      <c r="S42" s="138">
        <f t="shared" si="46"/>
        <v>0</v>
      </c>
      <c r="T42" s="162">
        <f t="shared" si="39"/>
        <v>0</v>
      </c>
      <c r="U42" s="148">
        <f t="shared" si="40"/>
        <v>0</v>
      </c>
      <c r="V42" s="148">
        <f t="shared" si="47"/>
        <v>0</v>
      </c>
      <c r="W42" s="165">
        <f t="shared" si="41"/>
        <v>0</v>
      </c>
    </row>
    <row r="43" spans="1:23" x14ac:dyDescent="0.25">
      <c r="A43" s="62"/>
      <c r="B43" s="62"/>
      <c r="C43" s="62" t="s">
        <v>65</v>
      </c>
      <c r="D43" s="62"/>
      <c r="E43" s="76">
        <v>0</v>
      </c>
      <c r="F43" s="76">
        <v>0</v>
      </c>
      <c r="G43" s="76">
        <v>0</v>
      </c>
      <c r="H43" s="76">
        <f t="shared" si="42"/>
        <v>0</v>
      </c>
      <c r="I43" s="60"/>
      <c r="J43" s="19"/>
      <c r="K43" s="19"/>
      <c r="L43" s="77"/>
      <c r="M43" s="76">
        <f t="shared" si="43"/>
        <v>0</v>
      </c>
      <c r="N43" s="68"/>
      <c r="O43" s="128">
        <f t="shared" si="44"/>
        <v>0</v>
      </c>
      <c r="P43" s="128">
        <f t="shared" si="45"/>
        <v>0</v>
      </c>
      <c r="Q43" s="158">
        <f t="shared" si="37"/>
        <v>0</v>
      </c>
      <c r="R43" s="138">
        <f t="shared" si="38"/>
        <v>0</v>
      </c>
      <c r="S43" s="138">
        <f t="shared" si="46"/>
        <v>0</v>
      </c>
      <c r="T43" s="162">
        <f t="shared" si="39"/>
        <v>0</v>
      </c>
      <c r="U43" s="148">
        <f t="shared" si="40"/>
        <v>0</v>
      </c>
      <c r="V43" s="148">
        <f t="shared" si="47"/>
        <v>0</v>
      </c>
      <c r="W43" s="165">
        <f t="shared" si="41"/>
        <v>0</v>
      </c>
    </row>
    <row r="44" spans="1:23" x14ac:dyDescent="0.25">
      <c r="A44" s="62"/>
      <c r="B44" s="62"/>
      <c r="C44" s="62" t="s">
        <v>66</v>
      </c>
      <c r="D44" s="62"/>
      <c r="E44" s="76">
        <v>0</v>
      </c>
      <c r="F44" s="76">
        <v>0</v>
      </c>
      <c r="G44" s="76">
        <v>0</v>
      </c>
      <c r="H44" s="76">
        <f t="shared" si="42"/>
        <v>0</v>
      </c>
      <c r="I44" s="60"/>
      <c r="J44" s="19"/>
      <c r="K44" s="19"/>
      <c r="L44" s="77"/>
      <c r="M44" s="76">
        <f t="shared" si="43"/>
        <v>0</v>
      </c>
      <c r="N44" s="68"/>
      <c r="O44" s="128">
        <f t="shared" si="44"/>
        <v>0</v>
      </c>
      <c r="P44" s="128">
        <f t="shared" si="45"/>
        <v>0</v>
      </c>
      <c r="Q44" s="158">
        <f t="shared" si="37"/>
        <v>0</v>
      </c>
      <c r="R44" s="138">
        <f t="shared" si="38"/>
        <v>0</v>
      </c>
      <c r="S44" s="138">
        <f t="shared" si="46"/>
        <v>0</v>
      </c>
      <c r="T44" s="162">
        <f t="shared" si="39"/>
        <v>0</v>
      </c>
      <c r="U44" s="148">
        <f t="shared" si="40"/>
        <v>0</v>
      </c>
      <c r="V44" s="148">
        <f t="shared" si="47"/>
        <v>0</v>
      </c>
      <c r="W44" s="165">
        <f t="shared" si="41"/>
        <v>0</v>
      </c>
    </row>
    <row r="45" spans="1:23" x14ac:dyDescent="0.25">
      <c r="A45" s="62"/>
      <c r="B45" s="62"/>
      <c r="C45" s="62" t="s">
        <v>67</v>
      </c>
      <c r="D45" s="62"/>
      <c r="E45" s="76">
        <v>0</v>
      </c>
      <c r="F45" s="76">
        <v>0</v>
      </c>
      <c r="G45" s="76">
        <v>0</v>
      </c>
      <c r="H45" s="76">
        <f t="shared" si="42"/>
        <v>0</v>
      </c>
      <c r="I45" s="60"/>
      <c r="J45" s="19"/>
      <c r="K45" s="19"/>
      <c r="L45" s="77"/>
      <c r="M45" s="76">
        <f t="shared" si="43"/>
        <v>0</v>
      </c>
      <c r="N45" s="68"/>
      <c r="O45" s="128">
        <f t="shared" si="44"/>
        <v>0</v>
      </c>
      <c r="P45" s="128">
        <f t="shared" si="45"/>
        <v>0</v>
      </c>
      <c r="Q45" s="158">
        <f t="shared" si="37"/>
        <v>0</v>
      </c>
      <c r="R45" s="138">
        <f t="shared" si="38"/>
        <v>0</v>
      </c>
      <c r="S45" s="138">
        <f t="shared" si="46"/>
        <v>0</v>
      </c>
      <c r="T45" s="162">
        <f t="shared" si="39"/>
        <v>0</v>
      </c>
      <c r="U45" s="148">
        <f t="shared" si="40"/>
        <v>0</v>
      </c>
      <c r="V45" s="148">
        <f t="shared" si="47"/>
        <v>0</v>
      </c>
      <c r="W45" s="165">
        <f t="shared" si="41"/>
        <v>0</v>
      </c>
    </row>
    <row r="46" spans="1:23" x14ac:dyDescent="0.25">
      <c r="A46" s="62"/>
      <c r="B46" s="62"/>
      <c r="C46" s="62" t="s">
        <v>68</v>
      </c>
      <c r="D46" s="62"/>
      <c r="E46" s="76">
        <v>0</v>
      </c>
      <c r="F46" s="76">
        <v>0</v>
      </c>
      <c r="G46" s="76">
        <v>0</v>
      </c>
      <c r="H46" s="76">
        <f t="shared" si="42"/>
        <v>0</v>
      </c>
      <c r="I46" s="60"/>
      <c r="J46" s="19"/>
      <c r="K46" s="19"/>
      <c r="L46" s="77"/>
      <c r="M46" s="76">
        <f t="shared" si="43"/>
        <v>0</v>
      </c>
      <c r="N46" s="68"/>
      <c r="O46" s="128">
        <f t="shared" si="44"/>
        <v>0</v>
      </c>
      <c r="P46" s="128">
        <f t="shared" si="45"/>
        <v>0</v>
      </c>
      <c r="Q46" s="158">
        <f t="shared" si="37"/>
        <v>0</v>
      </c>
      <c r="R46" s="138">
        <f t="shared" si="38"/>
        <v>0</v>
      </c>
      <c r="S46" s="138">
        <f t="shared" si="46"/>
        <v>0</v>
      </c>
      <c r="T46" s="162">
        <f t="shared" si="39"/>
        <v>0</v>
      </c>
      <c r="U46" s="148">
        <f t="shared" si="40"/>
        <v>0</v>
      </c>
      <c r="V46" s="148">
        <f t="shared" si="47"/>
        <v>0</v>
      </c>
      <c r="W46" s="165">
        <f t="shared" si="41"/>
        <v>0</v>
      </c>
    </row>
    <row r="47" spans="1:23" x14ac:dyDescent="0.25">
      <c r="A47" s="62"/>
      <c r="B47" s="62"/>
      <c r="C47" s="62" t="s">
        <v>69</v>
      </c>
      <c r="D47" s="62"/>
      <c r="E47" s="76">
        <v>0</v>
      </c>
      <c r="F47" s="76">
        <v>0</v>
      </c>
      <c r="G47" s="76">
        <v>0</v>
      </c>
      <c r="H47" s="76">
        <f t="shared" si="42"/>
        <v>0</v>
      </c>
      <c r="I47" s="60"/>
      <c r="J47" s="19"/>
      <c r="K47" s="19"/>
      <c r="L47" s="77"/>
      <c r="M47" s="76">
        <f t="shared" si="43"/>
        <v>0</v>
      </c>
      <c r="N47" s="68"/>
      <c r="O47" s="128">
        <f t="shared" si="44"/>
        <v>0</v>
      </c>
      <c r="P47" s="128">
        <f t="shared" si="45"/>
        <v>0</v>
      </c>
      <c r="Q47" s="158">
        <f t="shared" si="37"/>
        <v>0</v>
      </c>
      <c r="R47" s="138">
        <f t="shared" si="38"/>
        <v>0</v>
      </c>
      <c r="S47" s="138">
        <f t="shared" si="46"/>
        <v>0</v>
      </c>
      <c r="T47" s="162">
        <f t="shared" si="39"/>
        <v>0</v>
      </c>
      <c r="U47" s="148">
        <f t="shared" si="40"/>
        <v>0</v>
      </c>
      <c r="V47" s="148">
        <f t="shared" si="47"/>
        <v>0</v>
      </c>
      <c r="W47" s="165">
        <f t="shared" si="41"/>
        <v>0</v>
      </c>
    </row>
    <row r="48" spans="1:23" x14ac:dyDescent="0.25">
      <c r="A48" s="62"/>
      <c r="B48" s="62"/>
      <c r="C48" s="62" t="s">
        <v>70</v>
      </c>
      <c r="D48" s="62"/>
      <c r="E48" s="76">
        <v>0</v>
      </c>
      <c r="F48" s="76">
        <v>0</v>
      </c>
      <c r="G48" s="76">
        <v>0</v>
      </c>
      <c r="H48" s="76">
        <f t="shared" si="30"/>
        <v>0</v>
      </c>
      <c r="I48" s="60"/>
      <c r="J48" s="19"/>
      <c r="K48" s="80"/>
      <c r="L48" s="19"/>
      <c r="M48" s="76">
        <f t="shared" si="43"/>
        <v>0</v>
      </c>
      <c r="N48" s="68"/>
      <c r="O48" s="128">
        <f t="shared" si="44"/>
        <v>0</v>
      </c>
      <c r="P48" s="128">
        <f t="shared" si="45"/>
        <v>0</v>
      </c>
      <c r="Q48" s="158">
        <f t="shared" si="37"/>
        <v>0</v>
      </c>
      <c r="R48" s="138">
        <f t="shared" si="38"/>
        <v>0</v>
      </c>
      <c r="S48" s="138">
        <f t="shared" si="46"/>
        <v>0</v>
      </c>
      <c r="T48" s="162">
        <f t="shared" si="39"/>
        <v>0</v>
      </c>
      <c r="U48" s="148">
        <f t="shared" si="40"/>
        <v>0</v>
      </c>
      <c r="V48" s="148">
        <f t="shared" si="47"/>
        <v>0</v>
      </c>
      <c r="W48" s="165">
        <f t="shared" si="41"/>
        <v>0</v>
      </c>
    </row>
    <row r="49" spans="1:23" x14ac:dyDescent="0.25">
      <c r="A49" s="62"/>
      <c r="B49" s="62" t="s">
        <v>71</v>
      </c>
      <c r="C49" s="62"/>
      <c r="D49" s="62"/>
      <c r="E49" s="76"/>
      <c r="F49" s="76"/>
      <c r="G49" s="76"/>
      <c r="H49" s="76"/>
      <c r="I49" s="60"/>
      <c r="J49" s="19"/>
      <c r="K49" s="19"/>
      <c r="L49" s="77"/>
      <c r="M49" s="76"/>
      <c r="N49" s="68"/>
      <c r="O49" s="128"/>
      <c r="P49" s="128"/>
      <c r="Q49" s="158"/>
      <c r="R49" s="138"/>
      <c r="S49" s="138"/>
      <c r="T49" s="162"/>
      <c r="U49" s="148"/>
      <c r="V49" s="148"/>
      <c r="W49" s="165"/>
    </row>
    <row r="50" spans="1:23" x14ac:dyDescent="0.25">
      <c r="A50" s="62"/>
      <c r="B50" s="62"/>
      <c r="C50" s="62" t="s">
        <v>72</v>
      </c>
      <c r="D50" s="62"/>
      <c r="E50" s="76">
        <v>0</v>
      </c>
      <c r="F50" s="76">
        <v>0</v>
      </c>
      <c r="G50" s="76">
        <v>0</v>
      </c>
      <c r="H50" s="76">
        <f t="shared" si="30"/>
        <v>0</v>
      </c>
      <c r="I50" s="60"/>
      <c r="J50" s="19"/>
      <c r="K50" s="19"/>
      <c r="L50" s="19"/>
      <c r="M50" s="76">
        <f t="shared" ref="M50:M66" si="48">+H50+J50+L50</f>
        <v>0</v>
      </c>
      <c r="N50" s="68"/>
      <c r="O50" s="128">
        <f t="shared" ref="O50:O66" si="49">+M50</f>
        <v>0</v>
      </c>
      <c r="P50" s="128">
        <f t="shared" ref="P50:P66" si="50">+O50*$G$87</f>
        <v>0</v>
      </c>
      <c r="Q50" s="158">
        <f t="shared" si="37"/>
        <v>0</v>
      </c>
      <c r="R50" s="138">
        <f t="shared" si="38"/>
        <v>0</v>
      </c>
      <c r="S50" s="138">
        <f t="shared" ref="S50:S66" si="51">+R50*$G$87</f>
        <v>0</v>
      </c>
      <c r="T50" s="162">
        <f t="shared" si="39"/>
        <v>0</v>
      </c>
      <c r="U50" s="148">
        <f t="shared" si="40"/>
        <v>0</v>
      </c>
      <c r="V50" s="148">
        <f t="shared" ref="V50:V66" si="52">+U50*$G$87</f>
        <v>0</v>
      </c>
      <c r="W50" s="165">
        <f t="shared" si="41"/>
        <v>0</v>
      </c>
    </row>
    <row r="51" spans="1:23" x14ac:dyDescent="0.25">
      <c r="A51" s="62"/>
      <c r="B51" s="62"/>
      <c r="C51" s="62" t="s">
        <v>73</v>
      </c>
      <c r="D51" s="62"/>
      <c r="E51" s="76">
        <v>0</v>
      </c>
      <c r="F51" s="76">
        <v>0</v>
      </c>
      <c r="G51" s="76">
        <v>0</v>
      </c>
      <c r="H51" s="76">
        <f t="shared" ref="H51:H66" si="53">AVERAGE(E51:G51)</f>
        <v>0</v>
      </c>
      <c r="I51" s="60"/>
      <c r="J51" s="19"/>
      <c r="K51" s="19"/>
      <c r="L51" s="19"/>
      <c r="M51" s="76">
        <f t="shared" si="48"/>
        <v>0</v>
      </c>
      <c r="N51" s="68"/>
      <c r="O51" s="128">
        <f t="shared" si="49"/>
        <v>0</v>
      </c>
      <c r="P51" s="128">
        <f t="shared" si="50"/>
        <v>0</v>
      </c>
      <c r="Q51" s="158">
        <f t="shared" si="37"/>
        <v>0</v>
      </c>
      <c r="R51" s="138">
        <f t="shared" si="38"/>
        <v>0</v>
      </c>
      <c r="S51" s="138">
        <f t="shared" si="51"/>
        <v>0</v>
      </c>
      <c r="T51" s="162">
        <f t="shared" si="39"/>
        <v>0</v>
      </c>
      <c r="U51" s="148">
        <f t="shared" si="40"/>
        <v>0</v>
      </c>
      <c r="V51" s="148">
        <f t="shared" si="52"/>
        <v>0</v>
      </c>
      <c r="W51" s="165">
        <f t="shared" si="41"/>
        <v>0</v>
      </c>
    </row>
    <row r="52" spans="1:23" x14ac:dyDescent="0.25">
      <c r="A52" s="62"/>
      <c r="B52" s="62"/>
      <c r="C52" s="62" t="s">
        <v>110</v>
      </c>
      <c r="D52" s="62"/>
      <c r="E52" s="76">
        <v>0</v>
      </c>
      <c r="F52" s="76">
        <v>0</v>
      </c>
      <c r="G52" s="76">
        <v>0</v>
      </c>
      <c r="H52" s="76">
        <f t="shared" si="53"/>
        <v>0</v>
      </c>
      <c r="I52" s="60"/>
      <c r="J52" s="19"/>
      <c r="K52" s="19"/>
      <c r="L52" s="77"/>
      <c r="M52" s="76">
        <f t="shared" si="48"/>
        <v>0</v>
      </c>
      <c r="N52" s="68"/>
      <c r="O52" s="128">
        <f t="shared" si="49"/>
        <v>0</v>
      </c>
      <c r="P52" s="128">
        <f t="shared" si="50"/>
        <v>0</v>
      </c>
      <c r="Q52" s="158">
        <f t="shared" si="37"/>
        <v>0</v>
      </c>
      <c r="R52" s="138">
        <f t="shared" si="38"/>
        <v>0</v>
      </c>
      <c r="S52" s="138">
        <f t="shared" si="51"/>
        <v>0</v>
      </c>
      <c r="T52" s="162">
        <f t="shared" si="39"/>
        <v>0</v>
      </c>
      <c r="U52" s="148">
        <f t="shared" si="40"/>
        <v>0</v>
      </c>
      <c r="V52" s="148">
        <f t="shared" si="52"/>
        <v>0</v>
      </c>
      <c r="W52" s="165">
        <f t="shared" si="41"/>
        <v>0</v>
      </c>
    </row>
    <row r="53" spans="1:23" x14ac:dyDescent="0.25">
      <c r="A53" s="62"/>
      <c r="B53" s="62"/>
      <c r="C53" s="62" t="s">
        <v>74</v>
      </c>
      <c r="D53" s="62"/>
      <c r="E53" s="76">
        <v>0</v>
      </c>
      <c r="F53" s="76">
        <v>0</v>
      </c>
      <c r="G53" s="76">
        <v>0</v>
      </c>
      <c r="H53" s="76">
        <f t="shared" si="53"/>
        <v>0</v>
      </c>
      <c r="I53" s="60"/>
      <c r="J53" s="81">
        <f>-H53</f>
        <v>0</v>
      </c>
      <c r="K53" s="81"/>
      <c r="L53" s="81"/>
      <c r="M53" s="76">
        <f t="shared" si="48"/>
        <v>0</v>
      </c>
      <c r="N53" s="68"/>
      <c r="O53" s="128">
        <f t="shared" si="49"/>
        <v>0</v>
      </c>
      <c r="P53" s="128">
        <f t="shared" si="50"/>
        <v>0</v>
      </c>
      <c r="Q53" s="158">
        <f t="shared" si="37"/>
        <v>0</v>
      </c>
      <c r="R53" s="138">
        <f t="shared" si="38"/>
        <v>0</v>
      </c>
      <c r="S53" s="138">
        <f t="shared" si="51"/>
        <v>0</v>
      </c>
      <c r="T53" s="162">
        <f t="shared" si="39"/>
        <v>0</v>
      </c>
      <c r="U53" s="148">
        <f t="shared" si="40"/>
        <v>0</v>
      </c>
      <c r="V53" s="148">
        <f t="shared" si="52"/>
        <v>0</v>
      </c>
      <c r="W53" s="165">
        <f t="shared" si="41"/>
        <v>0</v>
      </c>
    </row>
    <row r="54" spans="1:23" x14ac:dyDescent="0.25">
      <c r="A54" s="62"/>
      <c r="B54" s="62"/>
      <c r="C54" s="62" t="s">
        <v>75</v>
      </c>
      <c r="D54" s="62"/>
      <c r="E54" s="76">
        <v>0</v>
      </c>
      <c r="F54" s="76">
        <v>0</v>
      </c>
      <c r="G54" s="76">
        <v>0</v>
      </c>
      <c r="H54" s="76">
        <f t="shared" si="53"/>
        <v>0</v>
      </c>
      <c r="I54" s="60"/>
      <c r="J54" s="81"/>
      <c r="K54" s="81"/>
      <c r="L54" s="81"/>
      <c r="M54" s="76">
        <f t="shared" si="48"/>
        <v>0</v>
      </c>
      <c r="N54" s="68"/>
      <c r="O54" s="128">
        <f t="shared" si="49"/>
        <v>0</v>
      </c>
      <c r="P54" s="128">
        <f t="shared" si="50"/>
        <v>0</v>
      </c>
      <c r="Q54" s="158">
        <f t="shared" si="37"/>
        <v>0</v>
      </c>
      <c r="R54" s="138">
        <f t="shared" si="38"/>
        <v>0</v>
      </c>
      <c r="S54" s="138">
        <f t="shared" si="51"/>
        <v>0</v>
      </c>
      <c r="T54" s="162">
        <f t="shared" si="39"/>
        <v>0</v>
      </c>
      <c r="U54" s="148">
        <f t="shared" si="40"/>
        <v>0</v>
      </c>
      <c r="V54" s="148">
        <f t="shared" si="52"/>
        <v>0</v>
      </c>
      <c r="W54" s="165">
        <f t="shared" si="41"/>
        <v>0</v>
      </c>
    </row>
    <row r="55" spans="1:23" x14ac:dyDescent="0.25">
      <c r="A55" s="62"/>
      <c r="B55" s="62"/>
      <c r="C55" s="62" t="s">
        <v>76</v>
      </c>
      <c r="D55" s="62"/>
      <c r="E55" s="76">
        <v>0</v>
      </c>
      <c r="F55" s="76">
        <v>0</v>
      </c>
      <c r="G55" s="76">
        <v>0</v>
      </c>
      <c r="H55" s="76">
        <f t="shared" si="53"/>
        <v>0</v>
      </c>
      <c r="I55" s="60"/>
      <c r="J55" s="81"/>
      <c r="K55" s="81"/>
      <c r="L55" s="81"/>
      <c r="M55" s="76">
        <f t="shared" si="48"/>
        <v>0</v>
      </c>
      <c r="N55" s="68"/>
      <c r="O55" s="128">
        <f t="shared" si="49"/>
        <v>0</v>
      </c>
      <c r="P55" s="128">
        <f t="shared" si="50"/>
        <v>0</v>
      </c>
      <c r="Q55" s="158">
        <f t="shared" si="37"/>
        <v>0</v>
      </c>
      <c r="R55" s="138">
        <f t="shared" si="38"/>
        <v>0</v>
      </c>
      <c r="S55" s="138">
        <f t="shared" si="51"/>
        <v>0</v>
      </c>
      <c r="T55" s="162">
        <f t="shared" si="39"/>
        <v>0</v>
      </c>
      <c r="U55" s="148">
        <f t="shared" si="40"/>
        <v>0</v>
      </c>
      <c r="V55" s="148">
        <f t="shared" si="52"/>
        <v>0</v>
      </c>
      <c r="W55" s="165">
        <f t="shared" si="41"/>
        <v>0</v>
      </c>
    </row>
    <row r="56" spans="1:23" x14ac:dyDescent="0.25">
      <c r="A56" s="62"/>
      <c r="B56" s="62"/>
      <c r="C56" s="62" t="s">
        <v>77</v>
      </c>
      <c r="D56" s="62"/>
      <c r="E56" s="76">
        <v>0</v>
      </c>
      <c r="F56" s="76">
        <v>0</v>
      </c>
      <c r="G56" s="76">
        <v>0</v>
      </c>
      <c r="H56" s="76">
        <f t="shared" si="53"/>
        <v>0</v>
      </c>
      <c r="I56" s="60"/>
      <c r="J56" s="81"/>
      <c r="K56" s="81"/>
      <c r="L56" s="81"/>
      <c r="M56" s="76">
        <f t="shared" si="48"/>
        <v>0</v>
      </c>
      <c r="N56" s="68"/>
      <c r="O56" s="128">
        <f t="shared" si="49"/>
        <v>0</v>
      </c>
      <c r="P56" s="128">
        <f t="shared" si="50"/>
        <v>0</v>
      </c>
      <c r="Q56" s="158">
        <f t="shared" si="37"/>
        <v>0</v>
      </c>
      <c r="R56" s="138">
        <f t="shared" si="38"/>
        <v>0</v>
      </c>
      <c r="S56" s="138">
        <f t="shared" si="51"/>
        <v>0</v>
      </c>
      <c r="T56" s="162">
        <f t="shared" si="39"/>
        <v>0</v>
      </c>
      <c r="U56" s="148">
        <f t="shared" si="40"/>
        <v>0</v>
      </c>
      <c r="V56" s="148">
        <f t="shared" si="52"/>
        <v>0</v>
      </c>
      <c r="W56" s="165">
        <f t="shared" si="41"/>
        <v>0</v>
      </c>
    </row>
    <row r="57" spans="1:23" x14ac:dyDescent="0.25">
      <c r="A57" s="62"/>
      <c r="B57" s="62"/>
      <c r="C57" s="62" t="s">
        <v>78</v>
      </c>
      <c r="D57" s="62"/>
      <c r="E57" s="76">
        <v>0</v>
      </c>
      <c r="F57" s="76">
        <v>0</v>
      </c>
      <c r="G57" s="76">
        <v>0</v>
      </c>
      <c r="H57" s="76">
        <f t="shared" si="53"/>
        <v>0</v>
      </c>
      <c r="I57" s="60"/>
      <c r="J57" s="81"/>
      <c r="K57" s="81"/>
      <c r="L57" s="81"/>
      <c r="M57" s="76">
        <f t="shared" si="48"/>
        <v>0</v>
      </c>
      <c r="N57" s="68"/>
      <c r="O57" s="128">
        <f t="shared" si="49"/>
        <v>0</v>
      </c>
      <c r="P57" s="128">
        <f t="shared" si="50"/>
        <v>0</v>
      </c>
      <c r="Q57" s="158">
        <f t="shared" si="37"/>
        <v>0</v>
      </c>
      <c r="R57" s="138">
        <f t="shared" si="38"/>
        <v>0</v>
      </c>
      <c r="S57" s="138">
        <f t="shared" si="51"/>
        <v>0</v>
      </c>
      <c r="T57" s="162">
        <f t="shared" si="39"/>
        <v>0</v>
      </c>
      <c r="U57" s="148">
        <f t="shared" si="40"/>
        <v>0</v>
      </c>
      <c r="V57" s="148">
        <f t="shared" si="52"/>
        <v>0</v>
      </c>
      <c r="W57" s="165">
        <f t="shared" si="41"/>
        <v>0</v>
      </c>
    </row>
    <row r="58" spans="1:23" x14ac:dyDescent="0.25">
      <c r="A58" s="62"/>
      <c r="B58" s="62"/>
      <c r="C58" s="62" t="s">
        <v>79</v>
      </c>
      <c r="D58" s="62"/>
      <c r="E58" s="76">
        <v>0</v>
      </c>
      <c r="F58" s="76">
        <v>0</v>
      </c>
      <c r="G58" s="76">
        <v>0</v>
      </c>
      <c r="H58" s="76">
        <f t="shared" si="53"/>
        <v>0</v>
      </c>
      <c r="I58" s="60"/>
      <c r="J58" s="81"/>
      <c r="K58" s="81"/>
      <c r="L58" s="81"/>
      <c r="M58" s="76">
        <f t="shared" si="48"/>
        <v>0</v>
      </c>
      <c r="N58" s="68"/>
      <c r="O58" s="128">
        <f t="shared" si="49"/>
        <v>0</v>
      </c>
      <c r="P58" s="128">
        <f t="shared" si="50"/>
        <v>0</v>
      </c>
      <c r="Q58" s="158">
        <f t="shared" si="37"/>
        <v>0</v>
      </c>
      <c r="R58" s="138">
        <f t="shared" si="38"/>
        <v>0</v>
      </c>
      <c r="S58" s="138">
        <f t="shared" si="51"/>
        <v>0</v>
      </c>
      <c r="T58" s="162">
        <f t="shared" si="39"/>
        <v>0</v>
      </c>
      <c r="U58" s="148">
        <f t="shared" si="40"/>
        <v>0</v>
      </c>
      <c r="V58" s="148">
        <f t="shared" si="52"/>
        <v>0</v>
      </c>
      <c r="W58" s="165">
        <f t="shared" si="41"/>
        <v>0</v>
      </c>
    </row>
    <row r="59" spans="1:23" x14ac:dyDescent="0.25">
      <c r="A59" s="62"/>
      <c r="B59" s="62"/>
      <c r="C59" s="62" t="s">
        <v>80</v>
      </c>
      <c r="D59" s="62"/>
      <c r="E59" s="76">
        <v>0</v>
      </c>
      <c r="F59" s="76">
        <v>0</v>
      </c>
      <c r="G59" s="76">
        <v>0</v>
      </c>
      <c r="H59" s="76">
        <f t="shared" si="53"/>
        <v>0</v>
      </c>
      <c r="I59" s="60"/>
      <c r="J59" s="81"/>
      <c r="K59" s="81"/>
      <c r="L59" s="81"/>
      <c r="M59" s="76">
        <f t="shared" si="48"/>
        <v>0</v>
      </c>
      <c r="N59" s="68"/>
      <c r="O59" s="128">
        <f t="shared" si="49"/>
        <v>0</v>
      </c>
      <c r="P59" s="128">
        <f t="shared" si="50"/>
        <v>0</v>
      </c>
      <c r="Q59" s="158">
        <f t="shared" si="37"/>
        <v>0</v>
      </c>
      <c r="R59" s="138">
        <f t="shared" si="38"/>
        <v>0</v>
      </c>
      <c r="S59" s="138">
        <f t="shared" si="51"/>
        <v>0</v>
      </c>
      <c r="T59" s="162">
        <f t="shared" si="39"/>
        <v>0</v>
      </c>
      <c r="U59" s="148">
        <f t="shared" si="40"/>
        <v>0</v>
      </c>
      <c r="V59" s="148">
        <f t="shared" si="52"/>
        <v>0</v>
      </c>
      <c r="W59" s="165">
        <f t="shared" si="41"/>
        <v>0</v>
      </c>
    </row>
    <row r="60" spans="1:23" x14ac:dyDescent="0.25">
      <c r="A60" s="62"/>
      <c r="B60" s="62"/>
      <c r="C60" s="62" t="s">
        <v>81</v>
      </c>
      <c r="D60" s="62"/>
      <c r="E60" s="76">
        <v>0</v>
      </c>
      <c r="F60" s="76">
        <v>0</v>
      </c>
      <c r="G60" s="76">
        <v>0</v>
      </c>
      <c r="H60" s="76">
        <f t="shared" si="53"/>
        <v>0</v>
      </c>
      <c r="I60" s="60"/>
      <c r="J60" s="81"/>
      <c r="K60" s="81"/>
      <c r="L60" s="81"/>
      <c r="M60" s="76">
        <f t="shared" si="48"/>
        <v>0</v>
      </c>
      <c r="N60" s="68"/>
      <c r="O60" s="128">
        <f t="shared" si="49"/>
        <v>0</v>
      </c>
      <c r="P60" s="128">
        <f t="shared" si="50"/>
        <v>0</v>
      </c>
      <c r="Q60" s="158">
        <f t="shared" si="37"/>
        <v>0</v>
      </c>
      <c r="R60" s="138">
        <f t="shared" si="38"/>
        <v>0</v>
      </c>
      <c r="S60" s="138">
        <f t="shared" si="51"/>
        <v>0</v>
      </c>
      <c r="T60" s="162">
        <f t="shared" si="39"/>
        <v>0</v>
      </c>
      <c r="U60" s="148">
        <f t="shared" si="40"/>
        <v>0</v>
      </c>
      <c r="V60" s="148">
        <f t="shared" si="52"/>
        <v>0</v>
      </c>
      <c r="W60" s="165">
        <f t="shared" si="41"/>
        <v>0</v>
      </c>
    </row>
    <row r="61" spans="1:23" x14ac:dyDescent="0.25">
      <c r="A61" s="62"/>
      <c r="B61" s="62"/>
      <c r="C61" s="62" t="s">
        <v>82</v>
      </c>
      <c r="D61" s="62"/>
      <c r="E61" s="76">
        <v>0</v>
      </c>
      <c r="F61" s="76">
        <v>0</v>
      </c>
      <c r="G61" s="76">
        <v>0</v>
      </c>
      <c r="H61" s="76">
        <f t="shared" si="53"/>
        <v>0</v>
      </c>
      <c r="I61" s="60"/>
      <c r="J61" s="81"/>
      <c r="K61" s="81"/>
      <c r="L61" s="81"/>
      <c r="M61" s="76">
        <f t="shared" si="48"/>
        <v>0</v>
      </c>
      <c r="N61" s="68"/>
      <c r="O61" s="128">
        <f t="shared" si="49"/>
        <v>0</v>
      </c>
      <c r="P61" s="128">
        <f t="shared" si="50"/>
        <v>0</v>
      </c>
      <c r="Q61" s="158">
        <f t="shared" si="37"/>
        <v>0</v>
      </c>
      <c r="R61" s="138">
        <f t="shared" si="38"/>
        <v>0</v>
      </c>
      <c r="S61" s="138">
        <f t="shared" si="51"/>
        <v>0</v>
      </c>
      <c r="T61" s="162">
        <f t="shared" si="39"/>
        <v>0</v>
      </c>
      <c r="U61" s="148">
        <f t="shared" si="40"/>
        <v>0</v>
      </c>
      <c r="V61" s="148">
        <f t="shared" si="52"/>
        <v>0</v>
      </c>
      <c r="W61" s="165">
        <f t="shared" si="41"/>
        <v>0</v>
      </c>
    </row>
    <row r="62" spans="1:23" x14ac:dyDescent="0.25">
      <c r="A62" s="62"/>
      <c r="B62" s="62"/>
      <c r="C62" s="62" t="s">
        <v>83</v>
      </c>
      <c r="D62" s="62"/>
      <c r="E62" s="76">
        <v>0</v>
      </c>
      <c r="F62" s="76">
        <v>0</v>
      </c>
      <c r="G62" s="76">
        <v>0</v>
      </c>
      <c r="H62" s="76">
        <f t="shared" si="53"/>
        <v>0</v>
      </c>
      <c r="I62" s="60"/>
      <c r="J62" s="81"/>
      <c r="K62" s="81"/>
      <c r="L62" s="81"/>
      <c r="M62" s="76">
        <f t="shared" si="48"/>
        <v>0</v>
      </c>
      <c r="N62" s="68"/>
      <c r="O62" s="128">
        <f t="shared" si="49"/>
        <v>0</v>
      </c>
      <c r="P62" s="128">
        <f t="shared" si="50"/>
        <v>0</v>
      </c>
      <c r="Q62" s="158">
        <f t="shared" si="37"/>
        <v>0</v>
      </c>
      <c r="R62" s="138">
        <f t="shared" si="38"/>
        <v>0</v>
      </c>
      <c r="S62" s="138">
        <f t="shared" si="51"/>
        <v>0</v>
      </c>
      <c r="T62" s="162">
        <f t="shared" si="39"/>
        <v>0</v>
      </c>
      <c r="U62" s="148">
        <f t="shared" si="40"/>
        <v>0</v>
      </c>
      <c r="V62" s="148">
        <f t="shared" si="52"/>
        <v>0</v>
      </c>
      <c r="W62" s="165">
        <f t="shared" si="41"/>
        <v>0</v>
      </c>
    </row>
    <row r="63" spans="1:23" x14ac:dyDescent="0.25">
      <c r="A63" s="62"/>
      <c r="B63" s="62"/>
      <c r="C63" s="62" t="s">
        <v>84</v>
      </c>
      <c r="D63" s="62"/>
      <c r="E63" s="76">
        <v>0</v>
      </c>
      <c r="F63" s="76">
        <v>0</v>
      </c>
      <c r="G63" s="76">
        <v>0</v>
      </c>
      <c r="H63" s="76">
        <f t="shared" si="53"/>
        <v>0</v>
      </c>
      <c r="I63" s="60"/>
      <c r="J63" s="81"/>
      <c r="K63" s="81"/>
      <c r="L63" s="81"/>
      <c r="M63" s="76">
        <f t="shared" si="48"/>
        <v>0</v>
      </c>
      <c r="N63" s="68"/>
      <c r="O63" s="128">
        <f t="shared" si="49"/>
        <v>0</v>
      </c>
      <c r="P63" s="128">
        <f t="shared" si="50"/>
        <v>0</v>
      </c>
      <c r="Q63" s="158">
        <f t="shared" si="37"/>
        <v>0</v>
      </c>
      <c r="R63" s="138">
        <f t="shared" si="38"/>
        <v>0</v>
      </c>
      <c r="S63" s="138">
        <f t="shared" si="51"/>
        <v>0</v>
      </c>
      <c r="T63" s="162">
        <f t="shared" si="39"/>
        <v>0</v>
      </c>
      <c r="U63" s="148">
        <f t="shared" si="40"/>
        <v>0</v>
      </c>
      <c r="V63" s="148">
        <f t="shared" si="52"/>
        <v>0</v>
      </c>
      <c r="W63" s="165">
        <f t="shared" si="41"/>
        <v>0</v>
      </c>
    </row>
    <row r="64" spans="1:23" x14ac:dyDescent="0.25">
      <c r="A64" s="62"/>
      <c r="B64" s="62" t="s">
        <v>151</v>
      </c>
      <c r="C64" s="62"/>
      <c r="D64" s="62"/>
      <c r="E64" s="76">
        <v>0</v>
      </c>
      <c r="F64" s="76">
        <v>0</v>
      </c>
      <c r="G64" s="76">
        <v>0</v>
      </c>
      <c r="H64" s="76">
        <f t="shared" si="53"/>
        <v>0</v>
      </c>
      <c r="I64" s="60"/>
      <c r="J64" s="81"/>
      <c r="K64" s="81"/>
      <c r="L64" s="81"/>
      <c r="M64" s="76">
        <f t="shared" si="48"/>
        <v>0</v>
      </c>
      <c r="N64" s="68"/>
      <c r="O64" s="128">
        <f t="shared" si="49"/>
        <v>0</v>
      </c>
      <c r="P64" s="128">
        <f t="shared" si="50"/>
        <v>0</v>
      </c>
      <c r="Q64" s="158">
        <f t="shared" ref="Q64" si="54">+O64+P64</f>
        <v>0</v>
      </c>
      <c r="R64" s="138">
        <f t="shared" ref="R64" si="55">+Q64</f>
        <v>0</v>
      </c>
      <c r="S64" s="138">
        <f t="shared" si="51"/>
        <v>0</v>
      </c>
      <c r="T64" s="162">
        <f t="shared" ref="T64" si="56">+R64+S64</f>
        <v>0</v>
      </c>
      <c r="U64" s="148">
        <f t="shared" ref="U64" si="57">+T64</f>
        <v>0</v>
      </c>
      <c r="V64" s="148">
        <f t="shared" si="52"/>
        <v>0</v>
      </c>
      <c r="W64" s="165">
        <f t="shared" ref="W64" si="58">+U64+V64</f>
        <v>0</v>
      </c>
    </row>
    <row r="65" spans="1:25" s="85" customFormat="1" ht="15.75" x14ac:dyDescent="0.25">
      <c r="A65" s="82"/>
      <c r="B65" s="62" t="s">
        <v>112</v>
      </c>
      <c r="C65" s="82"/>
      <c r="D65" s="82"/>
      <c r="E65" s="76">
        <v>0</v>
      </c>
      <c r="F65" s="76">
        <v>0</v>
      </c>
      <c r="G65" s="76">
        <v>0</v>
      </c>
      <c r="H65" s="76">
        <f t="shared" si="53"/>
        <v>0</v>
      </c>
      <c r="I65" s="60"/>
      <c r="J65" s="198"/>
      <c r="K65" s="83"/>
      <c r="L65" s="126">
        <f>-H65</f>
        <v>0</v>
      </c>
      <c r="M65" s="76">
        <f t="shared" si="48"/>
        <v>0</v>
      </c>
      <c r="N65" s="84"/>
      <c r="O65" s="128">
        <f t="shared" si="49"/>
        <v>0</v>
      </c>
      <c r="P65" s="128">
        <f t="shared" si="50"/>
        <v>0</v>
      </c>
      <c r="Q65" s="158">
        <f t="shared" si="37"/>
        <v>0</v>
      </c>
      <c r="R65" s="138">
        <f t="shared" si="38"/>
        <v>0</v>
      </c>
      <c r="S65" s="138">
        <f t="shared" si="51"/>
        <v>0</v>
      </c>
      <c r="T65" s="162">
        <f t="shared" si="39"/>
        <v>0</v>
      </c>
      <c r="U65" s="148">
        <f t="shared" si="40"/>
        <v>0</v>
      </c>
      <c r="V65" s="148">
        <f t="shared" si="52"/>
        <v>0</v>
      </c>
      <c r="W65" s="165">
        <f t="shared" si="41"/>
        <v>0</v>
      </c>
    </row>
    <row r="66" spans="1:25" x14ac:dyDescent="0.25">
      <c r="A66" s="62"/>
      <c r="B66" s="62" t="s">
        <v>111</v>
      </c>
      <c r="D66" s="62"/>
      <c r="E66" s="76">
        <v>0</v>
      </c>
      <c r="F66" s="76">
        <v>0</v>
      </c>
      <c r="G66" s="76">
        <v>0</v>
      </c>
      <c r="H66" s="76">
        <f t="shared" si="53"/>
        <v>0</v>
      </c>
      <c r="I66" s="60"/>
      <c r="J66" s="199"/>
      <c r="K66" s="81"/>
      <c r="L66" s="126">
        <f>-H66</f>
        <v>0</v>
      </c>
      <c r="M66" s="76">
        <f t="shared" si="48"/>
        <v>0</v>
      </c>
      <c r="N66" s="81"/>
      <c r="O66" s="128">
        <f t="shared" si="49"/>
        <v>0</v>
      </c>
      <c r="P66" s="128">
        <f t="shared" si="50"/>
        <v>0</v>
      </c>
      <c r="Q66" s="158">
        <f t="shared" si="37"/>
        <v>0</v>
      </c>
      <c r="R66" s="138">
        <f t="shared" si="38"/>
        <v>0</v>
      </c>
      <c r="S66" s="138">
        <f t="shared" si="51"/>
        <v>0</v>
      </c>
      <c r="T66" s="162">
        <f t="shared" si="39"/>
        <v>0</v>
      </c>
      <c r="U66" s="148">
        <f t="shared" si="40"/>
        <v>0</v>
      </c>
      <c r="V66" s="148">
        <f t="shared" si="52"/>
        <v>0</v>
      </c>
      <c r="W66" s="165">
        <f t="shared" si="41"/>
        <v>0</v>
      </c>
    </row>
    <row r="67" spans="1:25" x14ac:dyDescent="0.25">
      <c r="A67" s="62"/>
      <c r="B67" s="62" t="s">
        <v>117</v>
      </c>
      <c r="D67" s="62"/>
      <c r="E67" s="120">
        <f>SUM(E32:E66)</f>
        <v>0</v>
      </c>
      <c r="F67" s="120">
        <f t="shared" ref="F67:G67" si="59">SUM(F32:F66)</f>
        <v>0</v>
      </c>
      <c r="G67" s="120">
        <f t="shared" si="59"/>
        <v>0</v>
      </c>
      <c r="H67" s="120">
        <f>SUM(H32:H66)</f>
        <v>0</v>
      </c>
      <c r="I67" s="60"/>
      <c r="J67" s="78">
        <f>SUM(J32:J66)</f>
        <v>0</v>
      </c>
      <c r="K67" s="81"/>
      <c r="L67" s="78">
        <f t="shared" ref="L67:W67" si="60">SUM(L32:L66)</f>
        <v>0</v>
      </c>
      <c r="M67" s="78">
        <f t="shared" si="60"/>
        <v>0</v>
      </c>
      <c r="N67" s="81"/>
      <c r="O67" s="170">
        <f t="shared" si="60"/>
        <v>0</v>
      </c>
      <c r="P67" s="170">
        <f t="shared" si="60"/>
        <v>0</v>
      </c>
      <c r="Q67" s="170">
        <f t="shared" si="60"/>
        <v>0</v>
      </c>
      <c r="R67" s="171">
        <f t="shared" si="60"/>
        <v>0</v>
      </c>
      <c r="S67" s="171">
        <f t="shared" si="60"/>
        <v>0</v>
      </c>
      <c r="T67" s="171">
        <f t="shared" si="60"/>
        <v>0</v>
      </c>
      <c r="U67" s="172">
        <f t="shared" si="60"/>
        <v>0</v>
      </c>
      <c r="V67" s="172">
        <f t="shared" si="60"/>
        <v>0</v>
      </c>
      <c r="W67" s="172">
        <f t="shared" si="60"/>
        <v>0</v>
      </c>
    </row>
    <row r="68" spans="1:25" x14ac:dyDescent="0.25">
      <c r="A68" s="62"/>
      <c r="B68" s="62" t="s">
        <v>116</v>
      </c>
      <c r="D68" s="62"/>
      <c r="E68" s="86"/>
      <c r="F68" s="86"/>
      <c r="G68" s="86"/>
      <c r="H68" s="86"/>
      <c r="I68" s="60"/>
      <c r="J68" s="122"/>
      <c r="K68" s="81"/>
      <c r="L68" s="87"/>
      <c r="M68" s="86"/>
      <c r="N68" s="81"/>
      <c r="O68" s="130">
        <f>+O67*0.05</f>
        <v>0</v>
      </c>
      <c r="P68" s="130">
        <f t="shared" ref="P68:W68" si="61">+P67*0.05</f>
        <v>0</v>
      </c>
      <c r="Q68" s="130">
        <f t="shared" si="61"/>
        <v>0</v>
      </c>
      <c r="R68" s="140">
        <f>+R67*0.05</f>
        <v>0</v>
      </c>
      <c r="S68" s="140">
        <f t="shared" si="61"/>
        <v>0</v>
      </c>
      <c r="T68" s="140">
        <f t="shared" si="61"/>
        <v>0</v>
      </c>
      <c r="U68" s="150">
        <f t="shared" si="61"/>
        <v>0</v>
      </c>
      <c r="V68" s="150">
        <f t="shared" si="61"/>
        <v>0</v>
      </c>
      <c r="W68" s="150">
        <f t="shared" si="61"/>
        <v>0</v>
      </c>
    </row>
    <row r="69" spans="1:25" x14ac:dyDescent="0.25">
      <c r="A69" s="62"/>
      <c r="B69" s="62" t="s">
        <v>118</v>
      </c>
      <c r="D69" s="62"/>
      <c r="E69" s="120">
        <f>+E67+E68</f>
        <v>0</v>
      </c>
      <c r="F69" s="120">
        <f t="shared" ref="F69:W69" si="62">+F67+F68</f>
        <v>0</v>
      </c>
      <c r="G69" s="120">
        <f t="shared" si="62"/>
        <v>0</v>
      </c>
      <c r="H69" s="120">
        <f t="shared" si="62"/>
        <v>0</v>
      </c>
      <c r="I69" s="60"/>
      <c r="J69" s="121">
        <f t="shared" si="62"/>
        <v>0</v>
      </c>
      <c r="K69" s="81"/>
      <c r="L69" s="121">
        <f t="shared" si="62"/>
        <v>0</v>
      </c>
      <c r="M69" s="121">
        <f t="shared" si="62"/>
        <v>0</v>
      </c>
      <c r="N69" s="81"/>
      <c r="O69" s="170">
        <f t="shared" si="62"/>
        <v>0</v>
      </c>
      <c r="P69" s="170">
        <f t="shared" si="62"/>
        <v>0</v>
      </c>
      <c r="Q69" s="170">
        <f t="shared" si="62"/>
        <v>0</v>
      </c>
      <c r="R69" s="171">
        <f t="shared" si="62"/>
        <v>0</v>
      </c>
      <c r="S69" s="171">
        <f t="shared" si="62"/>
        <v>0</v>
      </c>
      <c r="T69" s="171">
        <f t="shared" si="62"/>
        <v>0</v>
      </c>
      <c r="U69" s="172">
        <f t="shared" si="62"/>
        <v>0</v>
      </c>
      <c r="V69" s="172">
        <f t="shared" si="62"/>
        <v>0</v>
      </c>
      <c r="W69" s="172">
        <f t="shared" si="62"/>
        <v>0</v>
      </c>
    </row>
    <row r="70" spans="1:25" x14ac:dyDescent="0.25">
      <c r="A70" s="62"/>
      <c r="B70" s="62"/>
      <c r="D70" s="62"/>
      <c r="E70" s="79"/>
      <c r="F70" s="79"/>
      <c r="G70" s="79"/>
      <c r="H70" s="79"/>
      <c r="I70" s="60"/>
      <c r="J70" s="123"/>
      <c r="K70" s="81"/>
      <c r="L70" s="79"/>
      <c r="M70" s="79"/>
      <c r="N70" s="81"/>
      <c r="O70" s="133"/>
      <c r="P70" s="133"/>
      <c r="Q70" s="133"/>
      <c r="R70" s="143"/>
      <c r="S70" s="143"/>
      <c r="T70" s="143"/>
      <c r="U70" s="153"/>
      <c r="V70" s="153"/>
      <c r="W70" s="153"/>
    </row>
    <row r="71" spans="1:25" x14ac:dyDescent="0.25">
      <c r="A71" s="62"/>
      <c r="B71" s="62" t="s">
        <v>115</v>
      </c>
      <c r="D71" s="62"/>
      <c r="E71" s="76"/>
      <c r="F71" s="76"/>
      <c r="G71" s="76"/>
      <c r="H71" s="76"/>
      <c r="I71" s="60"/>
      <c r="J71" s="124"/>
      <c r="K71" s="81"/>
      <c r="L71" s="81"/>
      <c r="M71" s="76"/>
      <c r="N71" s="81"/>
      <c r="O71" s="128">
        <f>+M71</f>
        <v>0</v>
      </c>
      <c r="P71" s="128">
        <f>+O71*$G$87</f>
        <v>0</v>
      </c>
      <c r="Q71" s="158">
        <f t="shared" si="37"/>
        <v>0</v>
      </c>
      <c r="R71" s="138">
        <f t="shared" si="38"/>
        <v>0</v>
      </c>
      <c r="S71" s="138">
        <f>+R71*$G$87</f>
        <v>0</v>
      </c>
      <c r="T71" s="162">
        <f t="shared" si="39"/>
        <v>0</v>
      </c>
      <c r="U71" s="148">
        <f t="shared" si="40"/>
        <v>0</v>
      </c>
      <c r="V71" s="148">
        <f>+U71*$G$87</f>
        <v>0</v>
      </c>
      <c r="W71" s="165">
        <f t="shared" si="41"/>
        <v>0</v>
      </c>
    </row>
    <row r="72" spans="1:25" x14ac:dyDescent="0.25">
      <c r="A72" s="62"/>
      <c r="B72" s="62" t="s">
        <v>85</v>
      </c>
      <c r="C72" s="62"/>
      <c r="D72" s="62"/>
      <c r="E72" s="76"/>
      <c r="F72" s="76"/>
      <c r="G72" s="76"/>
      <c r="H72" s="76"/>
      <c r="I72" s="60"/>
      <c r="J72" s="124"/>
      <c r="K72" s="81"/>
      <c r="L72" s="81"/>
      <c r="M72" s="76"/>
      <c r="N72" s="81"/>
      <c r="O72" s="128">
        <f>+M72</f>
        <v>0</v>
      </c>
      <c r="P72" s="128">
        <f>+O72*$G$87</f>
        <v>0</v>
      </c>
      <c r="Q72" s="158">
        <f t="shared" si="37"/>
        <v>0</v>
      </c>
      <c r="R72" s="138">
        <f t="shared" si="38"/>
        <v>0</v>
      </c>
      <c r="S72" s="138">
        <f>+R72*$G$87</f>
        <v>0</v>
      </c>
      <c r="T72" s="162">
        <f t="shared" si="39"/>
        <v>0</v>
      </c>
      <c r="U72" s="148">
        <f t="shared" si="40"/>
        <v>0</v>
      </c>
      <c r="V72" s="148">
        <f>+U72*$G$87</f>
        <v>0</v>
      </c>
      <c r="W72" s="165">
        <f t="shared" si="41"/>
        <v>0</v>
      </c>
    </row>
    <row r="73" spans="1:25" x14ac:dyDescent="0.25">
      <c r="A73" s="62"/>
      <c r="B73" s="62"/>
      <c r="C73" s="62" t="s">
        <v>174</v>
      </c>
      <c r="D73" s="62"/>
      <c r="E73" s="86"/>
      <c r="F73" s="86"/>
      <c r="G73" s="86"/>
      <c r="H73" s="86"/>
      <c r="I73" s="60"/>
      <c r="J73" s="122"/>
      <c r="K73" s="81"/>
      <c r="L73" s="87"/>
      <c r="M73" s="86"/>
      <c r="N73" s="81"/>
      <c r="O73" s="128" t="e">
        <f>+'Projected Capital Expenditures'!I29</f>
        <v>#DIV/0!</v>
      </c>
      <c r="P73" s="128"/>
      <c r="Q73" s="158" t="e">
        <f t="shared" si="37"/>
        <v>#DIV/0!</v>
      </c>
      <c r="R73" s="138" t="e">
        <f t="shared" si="38"/>
        <v>#DIV/0!</v>
      </c>
      <c r="S73" s="138"/>
      <c r="T73" s="162" t="e">
        <f t="shared" si="39"/>
        <v>#DIV/0!</v>
      </c>
      <c r="U73" s="148" t="e">
        <f t="shared" si="40"/>
        <v>#DIV/0!</v>
      </c>
      <c r="V73" s="148"/>
      <c r="W73" s="165" t="e">
        <f t="shared" si="41"/>
        <v>#DIV/0!</v>
      </c>
    </row>
    <row r="74" spans="1:25" x14ac:dyDescent="0.25">
      <c r="A74" s="62"/>
      <c r="B74" s="62"/>
      <c r="C74" s="62" t="s">
        <v>86</v>
      </c>
      <c r="D74" s="62"/>
      <c r="E74" s="86"/>
      <c r="F74" s="86"/>
      <c r="G74" s="86"/>
      <c r="H74" s="86"/>
      <c r="I74" s="60"/>
      <c r="J74" s="122"/>
      <c r="K74" s="81"/>
      <c r="L74" s="87"/>
      <c r="M74" s="86"/>
      <c r="N74" s="81"/>
      <c r="O74" s="128" t="e">
        <f>+'Projected Capital Expenditures'!G20</f>
        <v>#DIV/0!</v>
      </c>
      <c r="P74" s="128"/>
      <c r="Q74" s="158" t="e">
        <f t="shared" si="37"/>
        <v>#DIV/0!</v>
      </c>
      <c r="R74" s="138" t="e">
        <f t="shared" si="38"/>
        <v>#DIV/0!</v>
      </c>
      <c r="S74" s="138"/>
      <c r="T74" s="162" t="e">
        <f t="shared" si="39"/>
        <v>#DIV/0!</v>
      </c>
      <c r="U74" s="148" t="e">
        <f t="shared" si="40"/>
        <v>#DIV/0!</v>
      </c>
      <c r="V74" s="148"/>
      <c r="W74" s="165" t="e">
        <f t="shared" si="41"/>
        <v>#DIV/0!</v>
      </c>
    </row>
    <row r="75" spans="1:25" x14ac:dyDescent="0.25">
      <c r="A75" s="62"/>
      <c r="B75" s="62"/>
      <c r="C75" s="62" t="s">
        <v>14</v>
      </c>
      <c r="D75" s="62"/>
      <c r="E75" s="120">
        <f>SUM(E69:E74)</f>
        <v>0</v>
      </c>
      <c r="F75" s="120">
        <f t="shared" ref="F75:W75" si="63">SUM(F69:F74)</f>
        <v>0</v>
      </c>
      <c r="G75" s="120">
        <f t="shared" si="63"/>
        <v>0</v>
      </c>
      <c r="H75" s="120">
        <f t="shared" si="63"/>
        <v>0</v>
      </c>
      <c r="I75" s="60"/>
      <c r="J75" s="121">
        <f>SUM(J69:J74)</f>
        <v>0</v>
      </c>
      <c r="K75" s="81"/>
      <c r="L75" s="121">
        <f t="shared" si="63"/>
        <v>0</v>
      </c>
      <c r="M75" s="121">
        <f t="shared" si="63"/>
        <v>0</v>
      </c>
      <c r="N75" s="81"/>
      <c r="O75" s="134" t="e">
        <f t="shared" si="63"/>
        <v>#DIV/0!</v>
      </c>
      <c r="P75" s="134">
        <f>SUM(P69:P74)</f>
        <v>0</v>
      </c>
      <c r="Q75" s="134" t="e">
        <f t="shared" si="63"/>
        <v>#DIV/0!</v>
      </c>
      <c r="R75" s="144" t="e">
        <f t="shared" si="63"/>
        <v>#DIV/0!</v>
      </c>
      <c r="S75" s="144">
        <f t="shared" si="63"/>
        <v>0</v>
      </c>
      <c r="T75" s="144" t="e">
        <f t="shared" si="63"/>
        <v>#DIV/0!</v>
      </c>
      <c r="U75" s="154" t="e">
        <f t="shared" si="63"/>
        <v>#DIV/0!</v>
      </c>
      <c r="V75" s="154">
        <f t="shared" si="63"/>
        <v>0</v>
      </c>
      <c r="W75" s="154" t="e">
        <f t="shared" si="63"/>
        <v>#DIV/0!</v>
      </c>
    </row>
    <row r="76" spans="1:25" ht="15.75" thickBot="1" x14ac:dyDescent="0.3">
      <c r="A76" s="62"/>
      <c r="B76" s="62"/>
      <c r="C76" s="62"/>
      <c r="D76" s="62"/>
      <c r="E76" s="72"/>
      <c r="F76" s="72"/>
      <c r="G76" s="72"/>
      <c r="H76" s="67"/>
      <c r="I76" s="60"/>
      <c r="J76" s="125"/>
      <c r="K76" s="81"/>
      <c r="M76" s="67"/>
      <c r="N76" s="81"/>
      <c r="O76" s="135"/>
      <c r="P76" s="135"/>
      <c r="Q76" s="135"/>
      <c r="R76" s="145"/>
      <c r="S76" s="145"/>
      <c r="T76" s="145"/>
      <c r="U76" s="155"/>
      <c r="V76" s="155"/>
      <c r="W76" s="155"/>
    </row>
    <row r="77" spans="1:25" ht="15.75" thickBot="1" x14ac:dyDescent="0.3">
      <c r="A77" s="62" t="s">
        <v>16</v>
      </c>
      <c r="B77" s="62"/>
      <c r="C77" s="62"/>
      <c r="D77" s="62"/>
      <c r="E77" s="200">
        <f>+E28-E75</f>
        <v>0</v>
      </c>
      <c r="F77" s="200">
        <f>+F28-F75</f>
        <v>0</v>
      </c>
      <c r="G77" s="200">
        <f>+G28-G75</f>
        <v>0</v>
      </c>
      <c r="H77" s="200">
        <f>+H28-H75</f>
        <v>0</v>
      </c>
      <c r="I77" s="60"/>
      <c r="J77" s="200">
        <f>+J28-J75</f>
        <v>0</v>
      </c>
      <c r="K77" s="81"/>
      <c r="L77" s="200">
        <f>+L28-L75</f>
        <v>0</v>
      </c>
      <c r="M77" s="200">
        <f>+M28-M75</f>
        <v>0</v>
      </c>
      <c r="N77" s="81"/>
      <c r="O77" s="136" t="e">
        <f>+O28-O75</f>
        <v>#DIV/0!</v>
      </c>
      <c r="P77" s="136">
        <f t="shared" ref="P77:W77" si="64">+P28-P75</f>
        <v>0</v>
      </c>
      <c r="Q77" s="136" t="e">
        <f t="shared" si="64"/>
        <v>#DIV/0!</v>
      </c>
      <c r="R77" s="146" t="e">
        <f t="shared" si="64"/>
        <v>#DIV/0!</v>
      </c>
      <c r="S77" s="146">
        <f t="shared" si="64"/>
        <v>0</v>
      </c>
      <c r="T77" s="146" t="e">
        <f t="shared" si="64"/>
        <v>#DIV/0!</v>
      </c>
      <c r="U77" s="156" t="e">
        <f t="shared" si="64"/>
        <v>#DIV/0!</v>
      </c>
      <c r="V77" s="156">
        <f t="shared" si="64"/>
        <v>0</v>
      </c>
      <c r="W77" s="156" t="e">
        <f t="shared" si="64"/>
        <v>#DIV/0!</v>
      </c>
      <c r="X77" s="378" t="s">
        <v>142</v>
      </c>
      <c r="Y77" s="379"/>
    </row>
    <row r="78" spans="1:25" ht="15.75" thickTop="1" x14ac:dyDescent="0.25">
      <c r="A78" s="62"/>
      <c r="B78" s="62"/>
      <c r="C78" s="62"/>
      <c r="D78" s="62"/>
      <c r="E78" s="60"/>
      <c r="F78" s="60"/>
      <c r="G78" s="60"/>
      <c r="H78" s="60"/>
      <c r="I78" s="60"/>
      <c r="J78" s="60"/>
      <c r="K78" s="81"/>
      <c r="L78" s="60"/>
      <c r="M78" s="60"/>
      <c r="N78" s="81"/>
      <c r="O78" s="132"/>
      <c r="P78" s="132"/>
      <c r="Q78" s="132"/>
      <c r="R78" s="142"/>
      <c r="S78" s="142"/>
      <c r="T78" s="142"/>
      <c r="U78" s="152"/>
      <c r="V78" s="152"/>
      <c r="W78" s="152"/>
      <c r="X78" s="380"/>
      <c r="Y78" s="381"/>
    </row>
    <row r="79" spans="1:25" x14ac:dyDescent="0.25">
      <c r="A79" s="60" t="s">
        <v>23</v>
      </c>
      <c r="B79" s="60"/>
      <c r="C79" s="60"/>
      <c r="D79" s="60"/>
      <c r="E79" s="73"/>
      <c r="F79" s="73"/>
      <c r="G79" s="73"/>
      <c r="H79" s="214">
        <f>IF(+H77&lt;0,-H77/H15,0)</f>
        <v>0</v>
      </c>
      <c r="I79" s="60"/>
      <c r="J79" s="215"/>
      <c r="K79" s="215"/>
      <c r="L79" s="215"/>
      <c r="M79" s="214">
        <f>IF(+M77&lt;0,-M77/M15,0)</f>
        <v>0</v>
      </c>
      <c r="N79" s="176"/>
      <c r="O79" s="177"/>
      <c r="P79" s="177"/>
      <c r="Q79" s="216" t="e">
        <f>IF(+Q77&lt;0,-Q77/Q15,0)</f>
        <v>#DIV/0!</v>
      </c>
      <c r="R79" s="217"/>
      <c r="S79" s="217"/>
      <c r="T79" s="217" t="e">
        <f>IF(+T77&lt;0,-T77/T15,0)</f>
        <v>#DIV/0!</v>
      </c>
      <c r="U79" s="218"/>
      <c r="V79" s="218"/>
      <c r="W79" s="219" t="e">
        <f>IF(+W77&lt;0,-W77/W15,0)</f>
        <v>#DIV/0!</v>
      </c>
      <c r="X79" s="242"/>
      <c r="Y79" s="243"/>
    </row>
    <row r="80" spans="1:25" x14ac:dyDescent="0.25">
      <c r="A80" s="60"/>
      <c r="B80" s="60"/>
      <c r="C80" s="60"/>
      <c r="D80" s="60"/>
      <c r="E80" s="73"/>
      <c r="F80" s="73"/>
      <c r="G80" s="73"/>
      <c r="H80" s="214"/>
      <c r="I80" s="60"/>
      <c r="J80" s="215"/>
      <c r="K80" s="215"/>
      <c r="L80" s="215"/>
      <c r="M80" s="214"/>
      <c r="N80" s="176"/>
      <c r="O80" s="177"/>
      <c r="P80" s="177"/>
      <c r="Q80" s="216"/>
      <c r="R80" s="217"/>
      <c r="S80" s="217"/>
      <c r="T80" s="217"/>
      <c r="U80" s="218"/>
      <c r="V80" s="218"/>
      <c r="W80" s="219"/>
      <c r="X80" s="242"/>
      <c r="Y80" s="243"/>
    </row>
    <row r="81" spans="1:25" x14ac:dyDescent="0.25">
      <c r="A81" s="60" t="s">
        <v>185</v>
      </c>
      <c r="B81" s="60"/>
      <c r="C81" s="60"/>
      <c r="D81" s="60"/>
      <c r="E81" s="73"/>
      <c r="F81" s="73"/>
      <c r="G81" s="73"/>
      <c r="H81" s="214"/>
      <c r="I81" s="60"/>
      <c r="J81" s="215"/>
      <c r="K81" s="215"/>
      <c r="L81" s="215"/>
      <c r="M81" s="214"/>
      <c r="N81" s="176"/>
      <c r="O81" s="177"/>
      <c r="P81" s="177"/>
      <c r="Q81" s="215" t="e">
        <f>VLOOKUP(E8,'Award Cap Calculations'!$K$11:$M$21,9,FALSE)</f>
        <v>#REF!</v>
      </c>
      <c r="R81" s="217"/>
      <c r="S81" s="217"/>
      <c r="T81" s="217">
        <f>VLOOKUP(+R13,'Award Cap Calculations'!D7:F21,2,FALSE)</f>
        <v>0</v>
      </c>
      <c r="U81" s="218"/>
      <c r="V81" s="218"/>
      <c r="W81" s="219">
        <f>VLOOKUP(+U13,'Award Cap Calculations'!D7:F21,2,FALSE)</f>
        <v>0</v>
      </c>
      <c r="X81" s="242"/>
      <c r="Y81" s="243"/>
    </row>
    <row r="82" spans="1:25" x14ac:dyDescent="0.25">
      <c r="A82" s="60"/>
      <c r="B82" s="60"/>
      <c r="C82" s="60"/>
      <c r="D82" s="60"/>
      <c r="E82" s="73"/>
      <c r="F82" s="73"/>
      <c r="G82" s="73"/>
      <c r="H82" s="214"/>
      <c r="I82" s="60"/>
      <c r="J82" s="215"/>
      <c r="K82" s="215"/>
      <c r="L82" s="215"/>
      <c r="M82" s="214"/>
      <c r="N82" s="176"/>
      <c r="O82" s="177"/>
      <c r="P82" s="177"/>
      <c r="Q82" s="177"/>
      <c r="R82" s="217"/>
      <c r="S82" s="217"/>
      <c r="T82" s="217"/>
      <c r="U82" s="218"/>
      <c r="V82" s="218"/>
      <c r="W82" s="219"/>
      <c r="X82" s="242"/>
      <c r="Y82" s="243"/>
    </row>
    <row r="83" spans="1:25" ht="16.5" thickBot="1" x14ac:dyDescent="0.3">
      <c r="A83" s="64"/>
      <c r="B83" s="239" t="s">
        <v>186</v>
      </c>
      <c r="C83" s="239"/>
      <c r="D83" s="60"/>
      <c r="E83" s="73"/>
      <c r="F83" s="73"/>
      <c r="G83" s="73"/>
      <c r="H83" s="214"/>
      <c r="I83" s="60"/>
      <c r="J83" s="215"/>
      <c r="K83" s="215"/>
      <c r="L83" s="215"/>
      <c r="M83" s="214"/>
      <c r="N83" s="176"/>
      <c r="O83" s="177"/>
      <c r="P83" s="177"/>
      <c r="Q83" s="246" t="e">
        <f>IF(Q79&gt;Q81,Q81,Q79)</f>
        <v>#DIV/0!</v>
      </c>
      <c r="R83" s="240"/>
      <c r="S83" s="240"/>
      <c r="T83" s="247" t="e">
        <f>IF(T79&gt;T81,T81,T79)</f>
        <v>#DIV/0!</v>
      </c>
      <c r="U83" s="241"/>
      <c r="V83" s="241"/>
      <c r="W83" s="248" t="e">
        <f>IF(W79&gt;W81,W81,W79)</f>
        <v>#DIV/0!</v>
      </c>
      <c r="X83" s="375" t="e">
        <f>AVERAGE(Q83:W83)</f>
        <v>#DIV/0!</v>
      </c>
      <c r="Y83" s="376"/>
    </row>
    <row r="84" spans="1:25" ht="15.75" thickBot="1" x14ac:dyDescent="0.3">
      <c r="A84" s="64"/>
      <c r="B84" s="60"/>
      <c r="C84" s="60"/>
      <c r="D84" s="60"/>
      <c r="E84" s="73"/>
      <c r="F84" s="73"/>
      <c r="G84" s="73"/>
      <c r="H84" s="214"/>
      <c r="I84" s="60"/>
      <c r="J84" s="215"/>
      <c r="K84" s="215"/>
      <c r="L84" s="215"/>
      <c r="M84" s="214"/>
      <c r="N84" s="176"/>
      <c r="O84" s="177"/>
      <c r="P84" s="177"/>
      <c r="Q84" s="216"/>
      <c r="R84" s="217"/>
      <c r="S84" s="217"/>
      <c r="T84" s="217"/>
      <c r="U84" s="218"/>
      <c r="V84" s="218"/>
      <c r="W84" s="219"/>
      <c r="X84" s="244"/>
      <c r="Y84" s="245"/>
    </row>
    <row r="85" spans="1:25" x14ac:dyDescent="0.25">
      <c r="A85" s="61" t="s">
        <v>25</v>
      </c>
      <c r="B85" s="60"/>
      <c r="C85" s="60"/>
      <c r="D85" s="60"/>
      <c r="E85" s="60"/>
      <c r="F85" s="60"/>
      <c r="G85" s="60"/>
      <c r="H85" s="60"/>
      <c r="I85" s="60"/>
      <c r="J85" s="60"/>
      <c r="K85" s="60"/>
      <c r="L85" s="60"/>
      <c r="M85" s="60"/>
      <c r="N85" s="60"/>
      <c r="O85" s="60"/>
      <c r="P85" s="60"/>
      <c r="Q85" s="60"/>
      <c r="R85" s="60"/>
      <c r="S85" s="60"/>
      <c r="T85" s="60"/>
      <c r="U85" s="60"/>
      <c r="V85" s="60"/>
      <c r="W85" s="60"/>
    </row>
    <row r="86" spans="1:25" x14ac:dyDescent="0.25">
      <c r="A86" s="60" t="s">
        <v>113</v>
      </c>
      <c r="B86" s="60"/>
      <c r="C86" s="60"/>
      <c r="D86" s="60"/>
      <c r="E86" s="60"/>
      <c r="F86" s="60"/>
      <c r="G86" s="60"/>
      <c r="H86" s="60"/>
      <c r="I86" s="60"/>
      <c r="J86" s="60"/>
      <c r="K86" s="60"/>
      <c r="L86" s="60"/>
      <c r="M86" s="60"/>
      <c r="N86" s="60"/>
      <c r="O86" s="60"/>
      <c r="P86" s="60"/>
      <c r="Q86" s="60"/>
      <c r="R86" s="60"/>
      <c r="S86" s="60"/>
      <c r="T86" s="60"/>
      <c r="U86" s="60"/>
      <c r="V86" s="60"/>
      <c r="W86" s="60"/>
    </row>
    <row r="87" spans="1:25" x14ac:dyDescent="0.25">
      <c r="A87" s="60"/>
      <c r="B87" s="60" t="s">
        <v>114</v>
      </c>
      <c r="C87" s="60"/>
      <c r="D87" s="60"/>
      <c r="F87" s="60"/>
      <c r="G87" s="75">
        <v>2.8799999999999999E-2</v>
      </c>
      <c r="I87" s="60"/>
      <c r="J87" s="60"/>
      <c r="K87" s="60"/>
      <c r="L87" s="60"/>
      <c r="M87" s="60"/>
      <c r="N87" s="60"/>
      <c r="O87" s="60"/>
      <c r="P87" s="60"/>
      <c r="Q87" s="60"/>
      <c r="R87" s="60"/>
      <c r="S87" s="60"/>
      <c r="T87" s="60"/>
      <c r="U87" s="60"/>
      <c r="V87" s="60"/>
      <c r="W87" s="60"/>
    </row>
    <row r="88" spans="1:25" x14ac:dyDescent="0.25">
      <c r="A88" s="60"/>
      <c r="B88" s="60"/>
      <c r="C88" s="60"/>
      <c r="D88" s="60"/>
      <c r="E88" s="60"/>
      <c r="F88" s="60"/>
      <c r="G88" s="60"/>
      <c r="H88" s="60"/>
      <c r="I88" s="60"/>
      <c r="J88" s="60"/>
      <c r="K88" s="60"/>
      <c r="L88" s="60"/>
      <c r="M88" s="60"/>
      <c r="N88" s="60"/>
      <c r="O88" s="60"/>
      <c r="P88" s="60"/>
      <c r="Q88" s="60"/>
      <c r="R88" s="60"/>
      <c r="S88" s="60"/>
      <c r="T88" s="60"/>
      <c r="U88" s="60"/>
      <c r="V88" s="60"/>
      <c r="W88" s="60"/>
    </row>
    <row r="89" spans="1:25" x14ac:dyDescent="0.25">
      <c r="A89" s="60"/>
      <c r="B89" s="60"/>
      <c r="C89" s="60"/>
      <c r="D89" s="60"/>
      <c r="I89" s="60"/>
    </row>
    <row r="90" spans="1:25" x14ac:dyDescent="0.25">
      <c r="A90" s="65"/>
      <c r="B90" s="65"/>
      <c r="C90" s="65"/>
      <c r="D90" s="65"/>
      <c r="I90" s="60"/>
    </row>
    <row r="91" spans="1:25" x14ac:dyDescent="0.25">
      <c r="A91" s="65"/>
      <c r="B91" s="65"/>
      <c r="C91" s="65"/>
      <c r="D91" s="65"/>
      <c r="I91" s="60"/>
    </row>
    <row r="92" spans="1:25" x14ac:dyDescent="0.25">
      <c r="A92" s="65"/>
      <c r="B92" s="65"/>
      <c r="C92" s="65"/>
      <c r="D92" s="65"/>
      <c r="I92" s="60"/>
    </row>
    <row r="93" spans="1:25" x14ac:dyDescent="0.25">
      <c r="I93" s="60"/>
    </row>
    <row r="94" spans="1:25" x14ac:dyDescent="0.25">
      <c r="I94" s="60"/>
    </row>
  </sheetData>
  <mergeCells count="13">
    <mergeCell ref="A2:X2"/>
    <mergeCell ref="X83:Y83"/>
    <mergeCell ref="E8:G8"/>
    <mergeCell ref="X77:Y78"/>
    <mergeCell ref="E10:M10"/>
    <mergeCell ref="O12:W12"/>
    <mergeCell ref="E12:H12"/>
    <mergeCell ref="J12:M12"/>
    <mergeCell ref="E4:G4"/>
    <mergeCell ref="E5:G5"/>
    <mergeCell ref="E6:G6"/>
    <mergeCell ref="E7:G7"/>
    <mergeCell ref="A6:D6"/>
  </mergeCells>
  <pageMargins left="0.25" right="0.25" top="0.75" bottom="0.75" header="0.3" footer="0.3"/>
  <pageSetup paperSize="3"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topLeftCell="B7" workbookViewId="0">
      <selection activeCell="J24" sqref="J24"/>
    </sheetView>
  </sheetViews>
  <sheetFormatPr defaultRowHeight="15" x14ac:dyDescent="0.25"/>
  <cols>
    <col min="1" max="3" width="5.7109375" customWidth="1"/>
    <col min="4" max="4" width="28.140625" customWidth="1"/>
    <col min="5" max="5" width="17.85546875" customWidth="1"/>
    <col min="6" max="6" width="58.42578125" customWidth="1"/>
    <col min="7" max="7" width="28.5703125" customWidth="1"/>
    <col min="8" max="8" width="15" customWidth="1"/>
    <col min="9" max="9" width="25.28515625" customWidth="1"/>
    <col min="10" max="11" width="15.5703125" customWidth="1"/>
    <col min="12" max="12" width="21.85546875" customWidth="1"/>
  </cols>
  <sheetData>
    <row r="1" spans="1:12" ht="14.45" x14ac:dyDescent="0.35">
      <c r="A1" t="s">
        <v>29</v>
      </c>
      <c r="E1" s="377">
        <f>+'Pro forma'!E4</f>
        <v>0</v>
      </c>
      <c r="F1" s="377"/>
      <c r="G1" s="377"/>
      <c r="H1" s="377"/>
    </row>
    <row r="2" spans="1:12" ht="14.45" x14ac:dyDescent="0.35">
      <c r="A2" t="s">
        <v>31</v>
      </c>
      <c r="E2" s="12">
        <f>+'Pro forma'!E5</f>
        <v>0</v>
      </c>
      <c r="F2" s="12"/>
      <c r="G2" s="12"/>
      <c r="H2" s="12"/>
    </row>
    <row r="3" spans="1:12" ht="14.45" x14ac:dyDescent="0.35">
      <c r="A3" t="s">
        <v>32</v>
      </c>
      <c r="E3" s="377">
        <f>+'Pro forma'!E6</f>
        <v>0</v>
      </c>
      <c r="F3" s="377"/>
      <c r="G3" s="377"/>
      <c r="H3" s="377"/>
    </row>
    <row r="4" spans="1:12" ht="14.45" x14ac:dyDescent="0.35">
      <c r="A4" t="s">
        <v>33</v>
      </c>
      <c r="E4" s="377">
        <f>+'Pro forma'!E7</f>
        <v>0</v>
      </c>
      <c r="F4" s="377"/>
      <c r="G4" s="377"/>
      <c r="H4" s="377"/>
    </row>
    <row r="5" spans="1:12" ht="14.45" x14ac:dyDescent="0.35">
      <c r="E5" s="4"/>
      <c r="F5" s="4"/>
      <c r="G5" s="4"/>
      <c r="H5" s="4"/>
    </row>
    <row r="6" spans="1:12" ht="14.45" x14ac:dyDescent="0.35">
      <c r="D6" t="s">
        <v>44</v>
      </c>
      <c r="E6" s="4"/>
      <c r="F6" s="4"/>
      <c r="G6" s="4"/>
      <c r="H6" s="4"/>
    </row>
    <row r="7" spans="1:12" thickBot="1" x14ac:dyDescent="0.4"/>
    <row r="8" spans="1:12" ht="69" customHeight="1" thickBot="1" x14ac:dyDescent="0.4">
      <c r="D8" s="28" t="s">
        <v>21</v>
      </c>
      <c r="E8" s="29" t="s">
        <v>22</v>
      </c>
      <c r="F8" s="29" t="s">
        <v>38</v>
      </c>
      <c r="G8" s="29" t="s">
        <v>40</v>
      </c>
      <c r="H8" s="30" t="s">
        <v>37</v>
      </c>
      <c r="I8" s="30" t="s">
        <v>39</v>
      </c>
      <c r="J8" s="30" t="s">
        <v>41</v>
      </c>
      <c r="K8" s="30" t="s">
        <v>43</v>
      </c>
      <c r="L8" s="30" t="s">
        <v>42</v>
      </c>
    </row>
    <row r="9" spans="1:12" ht="15.95" thickBot="1" x14ac:dyDescent="0.4">
      <c r="D9" s="6"/>
      <c r="E9" s="8"/>
      <c r="F9" s="10"/>
      <c r="G9" s="10"/>
      <c r="H9" s="40"/>
      <c r="I9" s="40"/>
      <c r="J9" s="40"/>
      <c r="K9" s="41"/>
      <c r="L9" s="40"/>
    </row>
    <row r="10" spans="1:12" ht="15.95" thickBot="1" x14ac:dyDescent="0.4">
      <c r="D10" s="7"/>
      <c r="E10" s="9"/>
      <c r="F10" s="11"/>
      <c r="G10" s="11"/>
      <c r="H10" s="40"/>
      <c r="I10" s="40"/>
      <c r="J10" s="42"/>
      <c r="K10" s="41"/>
      <c r="L10" s="40"/>
    </row>
    <row r="11" spans="1:12" ht="15.95" thickBot="1" x14ac:dyDescent="0.4">
      <c r="D11" s="6"/>
      <c r="E11" s="8"/>
      <c r="F11" s="10"/>
      <c r="G11" s="10"/>
      <c r="H11" s="43"/>
      <c r="I11" s="43"/>
      <c r="J11" s="43"/>
      <c r="K11" s="44"/>
      <c r="L11" s="43"/>
    </row>
    <row r="12" spans="1:12" thickBot="1" x14ac:dyDescent="0.4">
      <c r="D12" s="36" t="s">
        <v>170</v>
      </c>
      <c r="E12" s="36"/>
      <c r="F12" s="50"/>
      <c r="G12" s="51"/>
      <c r="H12" s="52"/>
      <c r="I12" s="36">
        <f>SUM(I9:I11)</f>
        <v>0</v>
      </c>
      <c r="J12" s="53"/>
      <c r="K12" s="54"/>
      <c r="L12" s="55"/>
    </row>
    <row r="14" spans="1:12" thickBot="1" x14ac:dyDescent="0.4"/>
    <row r="15" spans="1:12" ht="30" customHeight="1" thickBot="1" x14ac:dyDescent="0.4">
      <c r="D15" s="32" t="s">
        <v>21</v>
      </c>
      <c r="E15" s="32" t="s">
        <v>27</v>
      </c>
      <c r="F15" s="32" t="s">
        <v>28</v>
      </c>
      <c r="G15" s="32" t="s">
        <v>26</v>
      </c>
    </row>
    <row r="16" spans="1:12" ht="15.95" thickBot="1" x14ac:dyDescent="0.4">
      <c r="D16" s="31"/>
      <c r="E16" s="33"/>
      <c r="F16" s="34"/>
      <c r="G16" s="35" t="e">
        <f>E16/F16</f>
        <v>#DIV/0!</v>
      </c>
    </row>
    <row r="17" spans="4:9" ht="15.95" thickBot="1" x14ac:dyDescent="0.4">
      <c r="D17" s="31"/>
      <c r="E17" s="33"/>
      <c r="F17" s="34"/>
      <c r="G17" s="35" t="e">
        <f>E17/F17</f>
        <v>#DIV/0!</v>
      </c>
    </row>
    <row r="18" spans="4:9" ht="15.95" thickBot="1" x14ac:dyDescent="0.4">
      <c r="D18" s="31"/>
      <c r="E18" s="33"/>
      <c r="F18" s="34"/>
      <c r="G18" s="35" t="e">
        <f>E18/F18</f>
        <v>#DIV/0!</v>
      </c>
    </row>
    <row r="19" spans="4:9" thickBot="1" x14ac:dyDescent="0.4">
      <c r="D19" s="36" t="s">
        <v>48</v>
      </c>
      <c r="E19" s="37">
        <f>SUM(E16:E18)</f>
        <v>0</v>
      </c>
      <c r="F19" s="36"/>
      <c r="G19" s="45"/>
    </row>
    <row r="20" spans="4:9" thickBot="1" x14ac:dyDescent="0.4">
      <c r="D20" s="36" t="s">
        <v>49</v>
      </c>
      <c r="E20" s="37"/>
      <c r="F20" s="36"/>
      <c r="G20" s="38" t="e">
        <f>SUM(G16:G18)</f>
        <v>#DIV/0!</v>
      </c>
    </row>
    <row r="21" spans="4:9" ht="14.45" x14ac:dyDescent="0.35">
      <c r="E21" s="3"/>
    </row>
    <row r="22" spans="4:9" ht="21" x14ac:dyDescent="0.5">
      <c r="D22" s="39" t="s">
        <v>169</v>
      </c>
    </row>
    <row r="23" spans="4:9" ht="21" x14ac:dyDescent="0.35">
      <c r="D23" s="39"/>
    </row>
    <row r="24" spans="4:9" x14ac:dyDescent="0.25">
      <c r="F24" s="13">
        <v>2021</v>
      </c>
      <c r="G24" s="13">
        <f>+F24+1</f>
        <v>2022</v>
      </c>
      <c r="H24" s="13">
        <f>+G24+1</f>
        <v>2023</v>
      </c>
    </row>
    <row r="25" spans="4:9" ht="30" x14ac:dyDescent="0.25">
      <c r="D25" s="5" t="s">
        <v>46</v>
      </c>
      <c r="F25" s="3">
        <f>+E19</f>
        <v>0</v>
      </c>
      <c r="G25" s="3" t="e">
        <f>+F26</f>
        <v>#DIV/0!</v>
      </c>
      <c r="H25" s="3" t="e">
        <f>+G26</f>
        <v>#DIV/0!</v>
      </c>
    </row>
    <row r="26" spans="4:9" ht="30.75" thickBot="1" x14ac:dyDescent="0.3">
      <c r="D26" s="339" t="s">
        <v>47</v>
      </c>
      <c r="F26" s="3" t="e">
        <f>+F25-G20</f>
        <v>#DIV/0!</v>
      </c>
      <c r="G26" s="3" t="e">
        <f>+G25-G20</f>
        <v>#DIV/0!</v>
      </c>
      <c r="H26" s="3" t="e">
        <f>+H25-G20</f>
        <v>#DIV/0!</v>
      </c>
    </row>
    <row r="27" spans="4:9" x14ac:dyDescent="0.25">
      <c r="D27" t="s">
        <v>45</v>
      </c>
      <c r="F27" s="3" t="e">
        <f>AVERAGE(F25:F26)</f>
        <v>#DIV/0!</v>
      </c>
      <c r="G27" s="3" t="e">
        <f>AVERAGE(G25:G26)</f>
        <v>#DIV/0!</v>
      </c>
      <c r="H27" s="3" t="e">
        <f>AVERAGE(H25:H26)</f>
        <v>#DIV/0!</v>
      </c>
      <c r="I27" s="49" t="s">
        <v>53</v>
      </c>
    </row>
    <row r="28" spans="4:9" x14ac:dyDescent="0.25">
      <c r="D28" t="s">
        <v>50</v>
      </c>
      <c r="F28" s="232">
        <f>+'Weighted Cost of Captial'!J15</f>
        <v>7.5639999999999999E-2</v>
      </c>
      <c r="G28" s="232">
        <f>+F28</f>
        <v>7.5639999999999999E-2</v>
      </c>
      <c r="H28" s="232">
        <f>+F28</f>
        <v>7.5639999999999999E-2</v>
      </c>
      <c r="I28" s="47"/>
    </row>
    <row r="29" spans="4:9" ht="15.75" thickBot="1" x14ac:dyDescent="0.3">
      <c r="D29" t="s">
        <v>52</v>
      </c>
      <c r="F29" s="46" t="e">
        <f>+F27*F28</f>
        <v>#DIV/0!</v>
      </c>
      <c r="G29" s="46" t="e">
        <f>+G27*G28</f>
        <v>#DIV/0!</v>
      </c>
      <c r="H29" s="46" t="e">
        <f>+H27*H28</f>
        <v>#DIV/0!</v>
      </c>
      <c r="I29" s="48" t="e">
        <f>AVERAGE(F29:H29)</f>
        <v>#DIV/0!</v>
      </c>
    </row>
    <row r="30" spans="4:9" ht="15.75" thickTop="1" x14ac:dyDescent="0.25"/>
    <row r="31" spans="4:9" x14ac:dyDescent="0.25">
      <c r="D31" t="s">
        <v>51</v>
      </c>
    </row>
  </sheetData>
  <mergeCells count="3">
    <mergeCell ref="E1:H1"/>
    <mergeCell ref="E3:H3"/>
    <mergeCell ref="E4:H4"/>
  </mergeCells>
  <pageMargins left="0.25" right="0.25" top="0.75" bottom="0.75" header="0.3" footer="0.3"/>
  <pageSetup paperSize="5"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workbookViewId="0">
      <selection activeCell="F33" sqref="F33"/>
    </sheetView>
  </sheetViews>
  <sheetFormatPr defaultRowHeight="15" x14ac:dyDescent="0.25"/>
  <cols>
    <col min="1" max="1" width="22.28515625" bestFit="1" customWidth="1"/>
    <col min="2" max="2" width="14.42578125" customWidth="1"/>
    <col min="3" max="11" width="11.5703125" customWidth="1"/>
    <col min="12" max="12" width="14.42578125" customWidth="1"/>
    <col min="13" max="13" width="6.42578125" customWidth="1"/>
    <col min="14" max="14" width="12" customWidth="1"/>
  </cols>
  <sheetData>
    <row r="1" spans="1:14" ht="14.45" x14ac:dyDescent="0.35">
      <c r="A1" t="s">
        <v>29</v>
      </c>
      <c r="E1" s="377">
        <f>+'Pro forma'!E4</f>
        <v>0</v>
      </c>
      <c r="F1" s="377"/>
      <c r="G1" s="377"/>
    </row>
    <row r="2" spans="1:14" ht="14.45" x14ac:dyDescent="0.35">
      <c r="A2" t="s">
        <v>31</v>
      </c>
      <c r="E2" s="12">
        <f>+'Pro forma'!E5</f>
        <v>0</v>
      </c>
      <c r="F2" s="12"/>
      <c r="G2" s="12"/>
    </row>
    <row r="3" spans="1:14" ht="14.45" x14ac:dyDescent="0.35">
      <c r="A3" t="s">
        <v>32</v>
      </c>
      <c r="E3" s="377">
        <f>+'Pro forma'!E6</f>
        <v>0</v>
      </c>
      <c r="F3" s="377"/>
      <c r="G3" s="377"/>
    </row>
    <row r="4" spans="1:14" ht="14.45" x14ac:dyDescent="0.35">
      <c r="A4" t="s">
        <v>33</v>
      </c>
      <c r="E4" s="377">
        <f>+'Pro forma'!E7</f>
        <v>0</v>
      </c>
      <c r="F4" s="377"/>
      <c r="G4" s="377"/>
    </row>
    <row r="7" spans="1:14" ht="21" x14ac:dyDescent="0.5">
      <c r="A7" s="386" t="s">
        <v>18</v>
      </c>
      <c r="B7" s="386"/>
      <c r="C7" s="386"/>
      <c r="D7" s="386"/>
      <c r="E7" s="386"/>
      <c r="F7" s="386"/>
      <c r="G7" s="386"/>
      <c r="H7" s="386"/>
      <c r="I7" s="386"/>
      <c r="J7" s="386"/>
      <c r="K7" s="386"/>
      <c r="L7" s="386"/>
      <c r="M7" s="21"/>
    </row>
    <row r="8" spans="1:14" ht="14.45" x14ac:dyDescent="0.35"/>
    <row r="9" spans="1:14" ht="14.45" x14ac:dyDescent="0.35">
      <c r="B9" s="20">
        <v>2011</v>
      </c>
      <c r="C9" s="20">
        <v>2012</v>
      </c>
      <c r="D9" s="20">
        <v>2013</v>
      </c>
      <c r="E9" s="20">
        <v>2014</v>
      </c>
      <c r="F9" s="20">
        <v>2015</v>
      </c>
      <c r="G9" s="20">
        <v>2016</v>
      </c>
      <c r="H9" s="20">
        <v>2017</v>
      </c>
      <c r="I9" s="20">
        <v>2018</v>
      </c>
      <c r="J9" s="20">
        <v>2019</v>
      </c>
      <c r="K9" s="20">
        <v>2020</v>
      </c>
      <c r="L9" s="20" t="s">
        <v>35</v>
      </c>
      <c r="N9" s="281"/>
    </row>
    <row r="10" spans="1:14" ht="14.45" x14ac:dyDescent="0.35">
      <c r="A10" s="2" t="s">
        <v>0</v>
      </c>
      <c r="B10" s="15"/>
      <c r="C10" s="15"/>
      <c r="D10" s="15"/>
      <c r="E10" s="15"/>
      <c r="F10" s="15"/>
      <c r="G10" s="15"/>
      <c r="H10" s="15"/>
      <c r="I10" s="15"/>
      <c r="J10" s="15"/>
      <c r="K10" s="15"/>
      <c r="L10" s="25" t="e">
        <f>AVERAGE(B10:K10)</f>
        <v>#DIV/0!</v>
      </c>
      <c r="N10" s="280"/>
    </row>
    <row r="11" spans="1:14" ht="14.45" x14ac:dyDescent="0.35">
      <c r="A11" s="2" t="s">
        <v>1</v>
      </c>
      <c r="B11" s="15"/>
      <c r="C11" s="15"/>
      <c r="D11" s="15"/>
      <c r="E11" s="15"/>
      <c r="F11" s="15"/>
      <c r="G11" s="15"/>
      <c r="H11" s="15"/>
      <c r="I11" s="15"/>
      <c r="J11" s="15"/>
      <c r="K11" s="15"/>
      <c r="L11" s="25" t="e">
        <f t="shared" ref="L11:L21" si="0">AVERAGE(B11:K11)</f>
        <v>#DIV/0!</v>
      </c>
      <c r="N11" s="280"/>
    </row>
    <row r="12" spans="1:14" ht="14.45" x14ac:dyDescent="0.35">
      <c r="A12" s="2" t="s">
        <v>2</v>
      </c>
      <c r="B12" s="15"/>
      <c r="C12" s="15"/>
      <c r="D12" s="15"/>
      <c r="E12" s="15"/>
      <c r="F12" s="15"/>
      <c r="G12" s="15"/>
      <c r="H12" s="15"/>
      <c r="I12" s="15"/>
      <c r="J12" s="15"/>
      <c r="K12" s="15"/>
      <c r="L12" s="25" t="e">
        <f t="shared" si="0"/>
        <v>#DIV/0!</v>
      </c>
      <c r="N12" s="280"/>
    </row>
    <row r="13" spans="1:14" ht="14.45" x14ac:dyDescent="0.35">
      <c r="A13" s="2" t="s">
        <v>3</v>
      </c>
      <c r="B13" s="15"/>
      <c r="C13" s="15"/>
      <c r="D13" s="15"/>
      <c r="E13" s="15"/>
      <c r="F13" s="15"/>
      <c r="G13" s="15"/>
      <c r="H13" s="15"/>
      <c r="I13" s="15"/>
      <c r="J13" s="15"/>
      <c r="K13" s="15"/>
      <c r="L13" s="25" t="e">
        <f t="shared" si="0"/>
        <v>#DIV/0!</v>
      </c>
      <c r="N13" s="280"/>
    </row>
    <row r="14" spans="1:14" ht="14.45" x14ac:dyDescent="0.35">
      <c r="A14" s="2" t="s">
        <v>4</v>
      </c>
      <c r="B14" s="15"/>
      <c r="C14" s="15"/>
      <c r="D14" s="15"/>
      <c r="E14" s="15"/>
      <c r="F14" s="15"/>
      <c r="G14" s="15"/>
      <c r="H14" s="15"/>
      <c r="I14" s="15"/>
      <c r="J14" s="15"/>
      <c r="K14" s="15"/>
      <c r="L14" s="25" t="e">
        <f t="shared" si="0"/>
        <v>#DIV/0!</v>
      </c>
      <c r="N14" s="280"/>
    </row>
    <row r="15" spans="1:14" ht="14.45" x14ac:dyDescent="0.35">
      <c r="A15" s="2" t="s">
        <v>5</v>
      </c>
      <c r="B15" s="15"/>
      <c r="C15" s="15"/>
      <c r="D15" s="15"/>
      <c r="E15" s="15"/>
      <c r="F15" s="15"/>
      <c r="G15" s="15"/>
      <c r="H15" s="15"/>
      <c r="I15" s="15"/>
      <c r="J15" s="15"/>
      <c r="K15" s="15"/>
      <c r="L15" s="25" t="e">
        <f t="shared" si="0"/>
        <v>#DIV/0!</v>
      </c>
      <c r="N15" s="280"/>
    </row>
    <row r="16" spans="1:14" ht="14.45" x14ac:dyDescent="0.35">
      <c r="A16" s="2" t="s">
        <v>6</v>
      </c>
      <c r="B16" s="15"/>
      <c r="C16" s="15"/>
      <c r="D16" s="15"/>
      <c r="E16" s="15"/>
      <c r="F16" s="15"/>
      <c r="G16" s="15"/>
      <c r="H16" s="15"/>
      <c r="I16" s="15"/>
      <c r="J16" s="15"/>
      <c r="K16" s="15"/>
      <c r="L16" s="25" t="e">
        <f t="shared" si="0"/>
        <v>#DIV/0!</v>
      </c>
      <c r="N16" s="280"/>
    </row>
    <row r="17" spans="1:14" ht="14.45" x14ac:dyDescent="0.35">
      <c r="A17" s="2" t="s">
        <v>7</v>
      </c>
      <c r="B17" s="15"/>
      <c r="C17" s="15"/>
      <c r="D17" s="15"/>
      <c r="E17" s="15"/>
      <c r="F17" s="15"/>
      <c r="G17" s="15"/>
      <c r="H17" s="15"/>
      <c r="I17" s="15"/>
      <c r="J17" s="15"/>
      <c r="K17" s="15"/>
      <c r="L17" s="25" t="e">
        <f t="shared" si="0"/>
        <v>#DIV/0!</v>
      </c>
      <c r="N17" s="280"/>
    </row>
    <row r="18" spans="1:14" ht="14.45" x14ac:dyDescent="0.35">
      <c r="A18" s="2" t="s">
        <v>8</v>
      </c>
      <c r="B18" s="15"/>
      <c r="C18" s="15"/>
      <c r="D18" s="15"/>
      <c r="E18" s="15"/>
      <c r="F18" s="15"/>
      <c r="G18" s="15"/>
      <c r="H18" s="15"/>
      <c r="I18" s="15"/>
      <c r="J18" s="15"/>
      <c r="K18" s="15"/>
      <c r="L18" s="25" t="e">
        <f t="shared" si="0"/>
        <v>#DIV/0!</v>
      </c>
      <c r="N18" s="280"/>
    </row>
    <row r="19" spans="1:14" ht="14.45" x14ac:dyDescent="0.35">
      <c r="A19" s="2" t="s">
        <v>9</v>
      </c>
      <c r="B19" s="15"/>
      <c r="C19" s="15"/>
      <c r="D19" s="15"/>
      <c r="E19" s="15"/>
      <c r="F19" s="15"/>
      <c r="G19" s="15"/>
      <c r="H19" s="15"/>
      <c r="I19" s="15"/>
      <c r="J19" s="15"/>
      <c r="K19" s="15"/>
      <c r="L19" s="25" t="e">
        <f t="shared" si="0"/>
        <v>#DIV/0!</v>
      </c>
      <c r="N19" s="280"/>
    </row>
    <row r="20" spans="1:14" ht="14.45" x14ac:dyDescent="0.35">
      <c r="A20" s="2" t="s">
        <v>10</v>
      </c>
      <c r="B20" s="15"/>
      <c r="C20" s="15"/>
      <c r="D20" s="15"/>
      <c r="E20" s="15"/>
      <c r="F20" s="15"/>
      <c r="G20" s="15"/>
      <c r="H20" s="15"/>
      <c r="I20" s="15"/>
      <c r="J20" s="15"/>
      <c r="K20" s="15"/>
      <c r="L20" s="25" t="e">
        <f t="shared" si="0"/>
        <v>#DIV/0!</v>
      </c>
      <c r="N20" s="280"/>
    </row>
    <row r="21" spans="1:14" ht="14.45" x14ac:dyDescent="0.35">
      <c r="A21" s="2" t="s">
        <v>11</v>
      </c>
      <c r="B21" s="15"/>
      <c r="C21" s="15"/>
      <c r="D21" s="15"/>
      <c r="E21" s="15"/>
      <c r="F21" s="15"/>
      <c r="G21" s="15"/>
      <c r="H21" s="15"/>
      <c r="I21" s="15"/>
      <c r="J21" s="15"/>
      <c r="K21" s="15"/>
      <c r="L21" s="25" t="e">
        <f t="shared" si="0"/>
        <v>#DIV/0!</v>
      </c>
      <c r="N21" s="280"/>
    </row>
    <row r="22" spans="1:14" x14ac:dyDescent="0.25">
      <c r="B22" s="16"/>
      <c r="C22" s="17"/>
      <c r="D22" s="17"/>
      <c r="E22" s="17"/>
      <c r="F22" s="17"/>
      <c r="G22" s="17"/>
      <c r="H22" s="17"/>
      <c r="I22" s="17"/>
      <c r="J22" s="17"/>
      <c r="K22" s="17"/>
      <c r="L22" s="26"/>
      <c r="N22" s="280"/>
    </row>
    <row r="23" spans="1:14" ht="15.75" thickBot="1" x14ac:dyDescent="0.3">
      <c r="A23" s="2" t="s">
        <v>17</v>
      </c>
      <c r="B23" s="23">
        <f t="shared" ref="B23:J23" si="1">SUM(B10:B21)</f>
        <v>0</v>
      </c>
      <c r="C23" s="23">
        <f t="shared" si="1"/>
        <v>0</v>
      </c>
      <c r="D23" s="23">
        <f t="shared" si="1"/>
        <v>0</v>
      </c>
      <c r="E23" s="23">
        <f t="shared" si="1"/>
        <v>0</v>
      </c>
      <c r="F23" s="23">
        <f t="shared" si="1"/>
        <v>0</v>
      </c>
      <c r="G23" s="23">
        <f t="shared" si="1"/>
        <v>0</v>
      </c>
      <c r="H23" s="23">
        <f t="shared" si="1"/>
        <v>0</v>
      </c>
      <c r="I23" s="23">
        <f t="shared" si="1"/>
        <v>0</v>
      </c>
      <c r="J23" s="23">
        <f t="shared" si="1"/>
        <v>0</v>
      </c>
      <c r="K23" s="23">
        <f t="shared" ref="K23" si="2">SUM(K10:K21)</f>
        <v>0</v>
      </c>
      <c r="L23" s="27">
        <f>AVERAGE(B23:K23)</f>
        <v>0</v>
      </c>
      <c r="N23" s="282"/>
    </row>
    <row r="24" spans="1:14" ht="15.75" thickTop="1" x14ac:dyDescent="0.25">
      <c r="A24" s="2"/>
      <c r="B24" s="18"/>
      <c r="C24" s="18"/>
      <c r="D24" s="18"/>
      <c r="E24" s="18"/>
      <c r="F24" s="18"/>
      <c r="G24" s="18"/>
      <c r="H24" s="18"/>
      <c r="I24" s="18"/>
      <c r="J24" s="18"/>
    </row>
    <row r="25" spans="1:14" x14ac:dyDescent="0.25">
      <c r="A25" s="2"/>
      <c r="B25" s="56"/>
      <c r="C25" s="56"/>
      <c r="D25" s="56"/>
      <c r="E25" s="56"/>
      <c r="F25" s="56"/>
      <c r="G25" s="18"/>
      <c r="H25" s="18"/>
      <c r="I25" s="18"/>
      <c r="J25" s="18"/>
    </row>
    <row r="26" spans="1:14" x14ac:dyDescent="0.25">
      <c r="A26" s="2"/>
      <c r="B26" s="18"/>
      <c r="C26" s="18"/>
      <c r="D26" s="18"/>
      <c r="E26" s="18"/>
      <c r="F26" s="18"/>
      <c r="G26" s="18"/>
      <c r="H26" s="18"/>
      <c r="I26" s="18"/>
      <c r="J26" s="18"/>
    </row>
    <row r="27" spans="1:14" x14ac:dyDescent="0.25">
      <c r="A27" t="s">
        <v>249</v>
      </c>
      <c r="F27" s="22">
        <f>+L23</f>
        <v>0</v>
      </c>
    </row>
    <row r="28" spans="1:14" x14ac:dyDescent="0.25">
      <c r="A28" t="s">
        <v>36</v>
      </c>
      <c r="F28" s="18">
        <f>+'Projected Capital Expenditures'!I12</f>
        <v>0</v>
      </c>
    </row>
    <row r="29" spans="1:14" ht="15.75" thickBot="1" x14ac:dyDescent="0.3">
      <c r="A29" s="2" t="s">
        <v>171</v>
      </c>
      <c r="F29" s="24">
        <f>SUM(F27:F28)</f>
        <v>0</v>
      </c>
    </row>
    <row r="30" spans="1:14" ht="15.75" thickTop="1" x14ac:dyDescent="0.25"/>
  </sheetData>
  <mergeCells count="4">
    <mergeCell ref="E1:G1"/>
    <mergeCell ref="E3:G3"/>
    <mergeCell ref="E4:G4"/>
    <mergeCell ref="A7:L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6"/>
  <sheetViews>
    <sheetView topLeftCell="A43" workbookViewId="0">
      <selection activeCell="D40" sqref="D40"/>
    </sheetView>
  </sheetViews>
  <sheetFormatPr defaultRowHeight="15" x14ac:dyDescent="0.25"/>
  <cols>
    <col min="1" max="1" width="5.140625" customWidth="1"/>
    <col min="2" max="2" width="34.5703125" customWidth="1"/>
    <col min="3" max="3" width="7.140625" customWidth="1"/>
    <col min="4" max="7" width="12.140625" customWidth="1"/>
    <col min="8" max="19" width="11.7109375" customWidth="1"/>
    <col min="20" max="20" width="10.5703125" bestFit="1" customWidth="1"/>
    <col min="22" max="22" width="11.28515625" customWidth="1"/>
    <col min="23" max="23" width="11.140625" customWidth="1"/>
    <col min="24" max="24" width="11.5703125" bestFit="1" customWidth="1"/>
    <col min="25" max="25" width="9.5703125" customWidth="1"/>
    <col min="26" max="26" width="14.28515625" bestFit="1" customWidth="1"/>
    <col min="27" max="27" width="11" customWidth="1"/>
    <col min="28" max="28" width="17.140625" customWidth="1"/>
  </cols>
  <sheetData>
    <row r="1" spans="1:22" ht="14.45" x14ac:dyDescent="0.35">
      <c r="A1" t="s">
        <v>29</v>
      </c>
      <c r="E1" s="388">
        <f>+'Pro forma'!E4</f>
        <v>0</v>
      </c>
      <c r="F1" s="388"/>
      <c r="G1" s="388"/>
    </row>
    <row r="2" spans="1:22" ht="14.45" x14ac:dyDescent="0.35">
      <c r="A2" t="s">
        <v>31</v>
      </c>
      <c r="E2" s="12">
        <f>+'Pro forma'!E5</f>
        <v>0</v>
      </c>
      <c r="F2" s="12"/>
      <c r="G2" s="12"/>
    </row>
    <row r="3" spans="1:22" ht="14.45" x14ac:dyDescent="0.35">
      <c r="A3" t="s">
        <v>32</v>
      </c>
      <c r="E3" s="387">
        <f>+'Pro forma'!E6</f>
        <v>0</v>
      </c>
      <c r="F3" s="387"/>
      <c r="G3" s="387"/>
    </row>
    <row r="4" spans="1:22" ht="14.45" x14ac:dyDescent="0.35">
      <c r="A4" t="s">
        <v>33</v>
      </c>
      <c r="E4" s="377">
        <f>+'Pro forma'!E7</f>
        <v>0</v>
      </c>
      <c r="F4" s="377"/>
      <c r="G4" s="377"/>
    </row>
    <row r="7" spans="1:22" thickBot="1" x14ac:dyDescent="0.4"/>
    <row r="8" spans="1:22" ht="14.45" x14ac:dyDescent="0.35">
      <c r="B8" s="395" t="s">
        <v>163</v>
      </c>
      <c r="C8" s="396"/>
      <c r="D8" s="396"/>
      <c r="E8" s="396"/>
      <c r="F8" s="397"/>
    </row>
    <row r="9" spans="1:22" thickBot="1" x14ac:dyDescent="0.4">
      <c r="B9" s="220" t="s">
        <v>134</v>
      </c>
      <c r="C9" s="221"/>
      <c r="D9" s="221"/>
      <c r="E9" s="221"/>
      <c r="F9" s="222" t="s">
        <v>93</v>
      </c>
    </row>
    <row r="12" spans="1:22" ht="14.45" x14ac:dyDescent="0.35">
      <c r="B12" s="324" t="s">
        <v>250</v>
      </c>
    </row>
    <row r="14" spans="1:22" ht="14.45" x14ac:dyDescent="0.35">
      <c r="B14" t="s">
        <v>252</v>
      </c>
      <c r="D14" t="s">
        <v>251</v>
      </c>
    </row>
    <row r="16" spans="1:22" ht="14.45" x14ac:dyDescent="0.35">
      <c r="B16" t="s">
        <v>101</v>
      </c>
      <c r="D16" s="190">
        <v>2018</v>
      </c>
      <c r="E16" s="13">
        <v>2019</v>
      </c>
      <c r="F16" s="13">
        <v>2020</v>
      </c>
      <c r="G16" s="13">
        <v>2021</v>
      </c>
      <c r="H16" s="13">
        <v>2022</v>
      </c>
      <c r="I16" s="13">
        <v>2023</v>
      </c>
      <c r="J16" s="13">
        <v>2024</v>
      </c>
      <c r="K16" s="13">
        <v>2025</v>
      </c>
      <c r="L16" s="13">
        <v>2026</v>
      </c>
      <c r="M16" s="13">
        <v>2027</v>
      </c>
      <c r="N16" s="13">
        <v>2028</v>
      </c>
      <c r="O16" s="13"/>
      <c r="P16" s="13"/>
      <c r="Q16" s="13"/>
      <c r="R16" s="13"/>
      <c r="S16" s="13"/>
      <c r="T16" s="190"/>
      <c r="U16" s="13"/>
      <c r="V16" s="13"/>
    </row>
    <row r="17" spans="2:26" ht="14.45" x14ac:dyDescent="0.35">
      <c r="B17" t="s">
        <v>90</v>
      </c>
      <c r="D17">
        <v>40.020000000000003</v>
      </c>
      <c r="E17">
        <v>25.76</v>
      </c>
      <c r="F17">
        <v>27.42</v>
      </c>
      <c r="G17">
        <v>28.73</v>
      </c>
      <c r="H17" s="14">
        <v>29.7</v>
      </c>
      <c r="I17" s="14">
        <v>35.229999999999997</v>
      </c>
      <c r="J17" s="14">
        <v>36.340000000000003</v>
      </c>
      <c r="K17" s="14">
        <v>41.54</v>
      </c>
      <c r="L17" s="14">
        <v>42.49</v>
      </c>
      <c r="M17" s="14">
        <v>43.81</v>
      </c>
      <c r="N17" s="14">
        <v>45.4</v>
      </c>
      <c r="O17" s="14"/>
      <c r="P17" s="14"/>
      <c r="Q17" s="14"/>
      <c r="R17" s="14"/>
      <c r="S17" s="14"/>
      <c r="T17" s="14"/>
      <c r="U17" s="14"/>
      <c r="V17" s="14"/>
    </row>
    <row r="18" spans="2:26" ht="14.45" x14ac:dyDescent="0.35">
      <c r="B18" t="s">
        <v>91</v>
      </c>
      <c r="D18">
        <v>39.39</v>
      </c>
      <c r="E18">
        <v>20.88</v>
      </c>
      <c r="F18" s="325">
        <v>24.61</v>
      </c>
      <c r="G18">
        <v>27.06</v>
      </c>
      <c r="H18" s="14">
        <v>30.09</v>
      </c>
      <c r="I18" s="14">
        <v>35.619999999999997</v>
      </c>
      <c r="J18" s="14">
        <v>37.700000000000003</v>
      </c>
      <c r="K18" s="14">
        <v>42.22</v>
      </c>
      <c r="L18" s="14">
        <v>43.36</v>
      </c>
      <c r="M18" s="14">
        <v>44.51</v>
      </c>
      <c r="N18" s="14">
        <v>46.27</v>
      </c>
      <c r="O18" s="14"/>
      <c r="P18" s="14"/>
      <c r="Q18" s="14"/>
      <c r="R18" s="14"/>
      <c r="S18" s="14"/>
      <c r="T18" s="14"/>
      <c r="U18" s="14"/>
      <c r="V18" s="14"/>
    </row>
    <row r="19" spans="2:26" ht="14.45" x14ac:dyDescent="0.35">
      <c r="B19" t="s">
        <v>92</v>
      </c>
      <c r="D19">
        <v>42.08</v>
      </c>
      <c r="E19">
        <v>23.38</v>
      </c>
      <c r="F19">
        <v>26.78</v>
      </c>
      <c r="G19">
        <v>28.86</v>
      </c>
      <c r="H19" s="14">
        <v>31.4</v>
      </c>
      <c r="I19" s="14">
        <v>36.6</v>
      </c>
      <c r="J19" s="14">
        <v>39.020000000000003</v>
      </c>
      <c r="K19" s="14">
        <v>43.79</v>
      </c>
      <c r="L19" s="14">
        <v>45.21</v>
      </c>
      <c r="M19" s="14">
        <v>46.37</v>
      </c>
      <c r="N19" s="14">
        <v>48.14</v>
      </c>
      <c r="O19" s="14"/>
      <c r="P19" s="14"/>
      <c r="Q19" s="14"/>
      <c r="R19" s="14"/>
      <c r="S19" s="14"/>
      <c r="T19" s="14"/>
      <c r="U19" s="14"/>
      <c r="V19" s="14"/>
    </row>
    <row r="20" spans="2:26" ht="14.45" x14ac:dyDescent="0.35">
      <c r="B20" t="s">
        <v>93</v>
      </c>
      <c r="D20">
        <v>39.33</v>
      </c>
      <c r="E20">
        <v>19.13</v>
      </c>
      <c r="F20">
        <v>22.75</v>
      </c>
      <c r="G20">
        <v>25.23</v>
      </c>
      <c r="H20" s="14">
        <v>28.24</v>
      </c>
      <c r="I20" s="14">
        <v>34.049999999999997</v>
      </c>
      <c r="J20" s="14">
        <v>35.96</v>
      </c>
      <c r="K20" s="14">
        <v>41.21</v>
      </c>
      <c r="L20" s="14">
        <v>42.3</v>
      </c>
      <c r="M20" s="14">
        <v>43.41</v>
      </c>
      <c r="N20" s="14">
        <v>44.99</v>
      </c>
      <c r="O20" s="14"/>
      <c r="P20" s="14"/>
      <c r="Q20" s="14"/>
      <c r="R20" s="14"/>
      <c r="S20" s="14"/>
      <c r="T20" s="14"/>
      <c r="U20" s="14"/>
      <c r="V20" s="14"/>
    </row>
    <row r="21" spans="2:26" ht="14.45" x14ac:dyDescent="0.35">
      <c r="B21" t="s">
        <v>94</v>
      </c>
      <c r="D21">
        <v>42.66</v>
      </c>
      <c r="E21">
        <v>23.15</v>
      </c>
      <c r="F21">
        <v>26.68</v>
      </c>
      <c r="G21">
        <v>28.81</v>
      </c>
      <c r="H21" s="14">
        <v>31.52</v>
      </c>
      <c r="I21" s="14">
        <v>36.72</v>
      </c>
      <c r="J21" s="14">
        <v>39.32</v>
      </c>
      <c r="K21" s="14">
        <v>44.06</v>
      </c>
      <c r="L21" s="14">
        <v>45.51</v>
      </c>
      <c r="M21" s="14">
        <v>46.63</v>
      </c>
      <c r="N21" s="14">
        <v>48.43</v>
      </c>
      <c r="O21" s="14"/>
      <c r="P21" s="14"/>
      <c r="Q21" s="14"/>
      <c r="R21" s="14"/>
      <c r="S21" s="14"/>
      <c r="T21" s="14"/>
      <c r="U21" s="14"/>
      <c r="V21" s="14"/>
    </row>
    <row r="22" spans="2:26" ht="14.45" x14ac:dyDescent="0.35">
      <c r="B22" t="s">
        <v>95</v>
      </c>
      <c r="D22">
        <v>51.14</v>
      </c>
      <c r="E22">
        <v>31.41</v>
      </c>
      <c r="F22">
        <v>33.369999999999997</v>
      </c>
      <c r="G22">
        <v>35.630000000000003</v>
      </c>
      <c r="H22" s="14">
        <v>37.1</v>
      </c>
      <c r="I22" s="14">
        <v>39.47</v>
      </c>
      <c r="J22" s="14">
        <v>41.46</v>
      </c>
      <c r="K22" s="14">
        <v>45.05</v>
      </c>
      <c r="L22" s="14">
        <v>46.57</v>
      </c>
      <c r="M22" s="14">
        <v>47.96</v>
      </c>
      <c r="N22" s="14">
        <v>50.3</v>
      </c>
      <c r="O22" s="14"/>
      <c r="P22" s="14"/>
      <c r="Q22" s="14"/>
      <c r="R22" s="14"/>
      <c r="S22" s="14"/>
      <c r="T22" s="14"/>
      <c r="U22" s="14"/>
      <c r="V22" s="14"/>
    </row>
    <row r="23" spans="2:26" ht="14.45" x14ac:dyDescent="0.35">
      <c r="B23" t="s">
        <v>96</v>
      </c>
      <c r="D23">
        <v>48.07</v>
      </c>
      <c r="E23">
        <v>29.2</v>
      </c>
      <c r="F23">
        <v>31.97</v>
      </c>
      <c r="G23">
        <v>34.74</v>
      </c>
      <c r="H23" s="14">
        <v>36.65</v>
      </c>
      <c r="I23" s="14">
        <v>39.65</v>
      </c>
      <c r="J23" s="14">
        <v>41.65</v>
      </c>
      <c r="K23" s="14">
        <v>45.43</v>
      </c>
      <c r="L23" s="14">
        <v>47.09</v>
      </c>
      <c r="M23" s="14">
        <v>48.43</v>
      </c>
      <c r="N23" s="14">
        <v>50.73</v>
      </c>
      <c r="O23" s="14"/>
      <c r="P23" s="14"/>
      <c r="Q23" s="14"/>
      <c r="R23" s="14"/>
      <c r="S23" s="14"/>
      <c r="T23" s="14"/>
      <c r="U23" s="14"/>
      <c r="V23" s="14"/>
      <c r="X23" s="14"/>
    </row>
    <row r="24" spans="2:26" ht="14.45" x14ac:dyDescent="0.35">
      <c r="B24" t="s">
        <v>97</v>
      </c>
      <c r="D24">
        <v>48.31</v>
      </c>
      <c r="E24">
        <v>29.39</v>
      </c>
      <c r="F24">
        <v>32.29</v>
      </c>
      <c r="G24">
        <v>34.94</v>
      </c>
      <c r="H24" s="14">
        <v>36.83</v>
      </c>
      <c r="I24" s="14">
        <v>39.79</v>
      </c>
      <c r="J24" s="14">
        <v>41.85</v>
      </c>
      <c r="K24" s="14">
        <v>45.61</v>
      </c>
      <c r="L24" s="14">
        <v>47.29</v>
      </c>
      <c r="M24" s="14">
        <v>48.63</v>
      </c>
      <c r="N24" s="14">
        <v>50.93</v>
      </c>
      <c r="O24" s="14"/>
      <c r="P24" s="14"/>
      <c r="Q24" s="14"/>
      <c r="R24" s="14"/>
      <c r="S24" s="14"/>
      <c r="T24" s="14"/>
      <c r="U24" s="14"/>
      <c r="V24" s="14"/>
      <c r="Z24" s="253"/>
    </row>
    <row r="25" spans="2:26" ht="14.45" x14ac:dyDescent="0.35">
      <c r="B25" t="s">
        <v>98</v>
      </c>
      <c r="D25">
        <v>48.15</v>
      </c>
      <c r="E25">
        <v>29.37</v>
      </c>
      <c r="F25">
        <v>32.29</v>
      </c>
      <c r="G25">
        <v>34.979999999999997</v>
      </c>
      <c r="H25" s="14">
        <v>36.86</v>
      </c>
      <c r="I25" s="14">
        <v>39.81</v>
      </c>
      <c r="J25" s="14">
        <v>41.82</v>
      </c>
      <c r="K25" s="14">
        <v>45.58</v>
      </c>
      <c r="L25" s="14">
        <v>47.25</v>
      </c>
      <c r="M25" s="14">
        <v>48.6</v>
      </c>
      <c r="N25" s="14">
        <v>50.88</v>
      </c>
      <c r="O25" s="14"/>
      <c r="P25" s="14"/>
      <c r="Q25" s="14"/>
      <c r="R25" s="14"/>
      <c r="S25" s="14"/>
      <c r="T25" s="14"/>
      <c r="U25" s="14"/>
      <c r="V25" s="14"/>
    </row>
    <row r="26" spans="2:26" ht="14.45" x14ac:dyDescent="0.35">
      <c r="B26" t="s">
        <v>100</v>
      </c>
      <c r="D26">
        <v>48.58</v>
      </c>
      <c r="E26">
        <v>29.98</v>
      </c>
      <c r="F26">
        <v>32.89</v>
      </c>
      <c r="G26">
        <v>35.26</v>
      </c>
      <c r="H26" s="14">
        <v>37.049999999999997</v>
      </c>
      <c r="I26" s="14">
        <v>39.96</v>
      </c>
      <c r="J26" s="14">
        <v>42.19</v>
      </c>
      <c r="K26" s="14">
        <v>45.97</v>
      </c>
      <c r="L26" s="14">
        <v>47.66</v>
      </c>
      <c r="M26" s="14">
        <v>49.07</v>
      </c>
      <c r="N26" s="14">
        <v>51.34</v>
      </c>
      <c r="O26" s="14"/>
      <c r="P26" s="14"/>
      <c r="Q26" s="14"/>
      <c r="R26" s="14"/>
      <c r="S26" s="14"/>
      <c r="T26" s="14"/>
      <c r="U26" s="14"/>
      <c r="V26" s="14"/>
    </row>
    <row r="27" spans="2:26" ht="14.45" x14ac:dyDescent="0.35">
      <c r="B27" t="s">
        <v>99</v>
      </c>
      <c r="D27">
        <v>51.9</v>
      </c>
      <c r="E27">
        <v>32.46</v>
      </c>
      <c r="F27">
        <v>35.21</v>
      </c>
      <c r="G27">
        <v>37.42</v>
      </c>
      <c r="H27" s="14">
        <v>38.99</v>
      </c>
      <c r="I27" s="14">
        <v>42.13</v>
      </c>
      <c r="J27" s="14">
        <v>44.52</v>
      </c>
      <c r="K27" s="14">
        <v>47.89</v>
      </c>
      <c r="L27" s="14">
        <v>49.6</v>
      </c>
      <c r="M27" s="14">
        <v>50.88</v>
      </c>
      <c r="N27" s="14">
        <v>53.39</v>
      </c>
      <c r="O27" s="14"/>
      <c r="P27" s="14"/>
      <c r="Q27" s="14"/>
      <c r="R27" s="14"/>
      <c r="S27" s="14"/>
      <c r="T27" s="14"/>
      <c r="U27" s="14"/>
      <c r="V27" s="14"/>
    </row>
    <row r="28" spans="2:26" ht="14.45" x14ac:dyDescent="0.35">
      <c r="G28" s="14"/>
    </row>
    <row r="29" spans="2:26" ht="14.45" x14ac:dyDescent="0.35">
      <c r="G29" s="14"/>
    </row>
    <row r="30" spans="2:26" thickBot="1" x14ac:dyDescent="0.4">
      <c r="D30" s="59">
        <f>AVERAGE(E17:E27)</f>
        <v>26.737272727272725</v>
      </c>
      <c r="E30" s="59">
        <f>AVERAGE(E17:E27)</f>
        <v>26.737272727272725</v>
      </c>
      <c r="F30" s="59">
        <f>AVERAGE(F17:F27)</f>
        <v>29.66</v>
      </c>
      <c r="G30" s="59">
        <f>AVERAGE(G17:G27)</f>
        <v>31.969090909090912</v>
      </c>
      <c r="H30" s="59">
        <f t="shared" ref="H30:M30" si="0">AVERAGE(I17:I27)</f>
        <v>38.093636363636364</v>
      </c>
      <c r="I30" s="59">
        <f t="shared" si="0"/>
        <v>40.166363636363634</v>
      </c>
      <c r="J30" s="59">
        <f t="shared" si="0"/>
        <v>44.395454545454548</v>
      </c>
      <c r="K30" s="59">
        <f t="shared" si="0"/>
        <v>45.848181818181821</v>
      </c>
      <c r="L30" s="59">
        <f t="shared" si="0"/>
        <v>47.118181818181824</v>
      </c>
      <c r="M30" s="59">
        <f t="shared" si="0"/>
        <v>49.163636363636371</v>
      </c>
      <c r="N30" s="59">
        <f>AVERAGE(N17:N27)</f>
        <v>49.163636363636371</v>
      </c>
      <c r="O30" s="59"/>
      <c r="P30" s="59"/>
      <c r="Q30" s="59"/>
      <c r="R30" s="59"/>
      <c r="S30" s="59"/>
      <c r="T30" s="59"/>
      <c r="U30" s="59"/>
      <c r="V30" s="59"/>
    </row>
    <row r="31" spans="2:26" ht="15.6" thickTop="1" thickBot="1" x14ac:dyDescent="0.4">
      <c r="G31" s="326"/>
    </row>
    <row r="32" spans="2:26" ht="14.45" x14ac:dyDescent="0.35">
      <c r="B32" s="392" t="s">
        <v>163</v>
      </c>
      <c r="C32" s="393"/>
      <c r="D32" s="393"/>
      <c r="E32" s="394"/>
    </row>
    <row r="33" spans="1:10" thickBot="1" x14ac:dyDescent="0.4">
      <c r="B33" s="206" t="s">
        <v>162</v>
      </c>
      <c r="C33" s="207"/>
      <c r="D33" s="207" t="str">
        <f>+'General Data Sheet'!F25</f>
        <v>NYISO Reference Bus Price</v>
      </c>
      <c r="E33" s="208"/>
    </row>
    <row r="34" spans="1:10" ht="14.45" x14ac:dyDescent="0.35"/>
    <row r="35" spans="1:10" ht="14.45" x14ac:dyDescent="0.35">
      <c r="A35" s="190" t="s">
        <v>165</v>
      </c>
    </row>
    <row r="36" spans="1:10" thickBot="1" x14ac:dyDescent="0.4"/>
    <row r="37" spans="1:10" ht="15.75" customHeight="1" thickBot="1" x14ac:dyDescent="0.4">
      <c r="B37" s="389" t="s">
        <v>136</v>
      </c>
      <c r="C37" s="390"/>
      <c r="D37" s="390"/>
      <c r="E37" s="390"/>
      <c r="F37" s="390"/>
      <c r="G37" s="391"/>
    </row>
    <row r="38" spans="1:10" x14ac:dyDescent="0.25">
      <c r="B38" s="89"/>
      <c r="C38" s="90"/>
      <c r="D38" s="115">
        <v>2018</v>
      </c>
      <c r="E38" s="115">
        <v>2019</v>
      </c>
      <c r="F38" s="115">
        <v>2020</v>
      </c>
      <c r="G38" s="114" t="s">
        <v>24</v>
      </c>
    </row>
    <row r="39" spans="1:10" x14ac:dyDescent="0.25">
      <c r="B39" s="91" t="s">
        <v>133</v>
      </c>
      <c r="D39" s="110">
        <f>(VLOOKUP($F$9,LBMP!$B$16:$P$27,MATCH(D$38,LBMP!$B$16:$N$16,0),FALSE))</f>
        <v>39.33</v>
      </c>
      <c r="E39" s="110">
        <f>(VLOOKUP($F$9,LBMP!$B$16:$P$27,MATCH(E$38,LBMP!$B$16:$N$16,0),FALSE))</f>
        <v>19.13</v>
      </c>
      <c r="F39" s="110">
        <f>(VLOOKUP($F$9,LBMP!$B$16:$P$27,MATCH(F$38,LBMP!$B$16:$N$16,0),FALSE))</f>
        <v>22.75</v>
      </c>
      <c r="G39" s="111">
        <f>AVERAGE(D39:F39)</f>
        <v>27.069999999999997</v>
      </c>
      <c r="H39" s="67"/>
      <c r="I39" s="67"/>
      <c r="J39" s="74"/>
    </row>
    <row r="40" spans="1:10" ht="30" x14ac:dyDescent="0.25">
      <c r="B40" s="112" t="s">
        <v>135</v>
      </c>
      <c r="D40" s="92">
        <f>IF(+$D$33="NYISO Reference Bus Price",+'General Data Sheet'!D48,+'General Data Sheet'!C38)</f>
        <v>0</v>
      </c>
      <c r="E40" s="92">
        <f>IF(+$D$33="NYISO Reference Bus Price",+'General Data Sheet'!E48,+'General Data Sheet'!D38)</f>
        <v>0</v>
      </c>
      <c r="F40" s="92">
        <f>IF(+$D$33="NYISO Reference Bus Price",+'General Data Sheet'!F48,+'General Data Sheet'!E38)</f>
        <v>0</v>
      </c>
      <c r="G40" s="111">
        <f>AVERAGE(D40:F40)</f>
        <v>0</v>
      </c>
    </row>
    <row r="41" spans="1:10" ht="15.75" thickBot="1" x14ac:dyDescent="0.3">
      <c r="B41" s="112" t="s">
        <v>137</v>
      </c>
      <c r="D41" s="109">
        <f>+D40/D39</f>
        <v>0</v>
      </c>
      <c r="E41" s="109">
        <f t="shared" ref="E41:G41" si="1">+E40/E39</f>
        <v>0</v>
      </c>
      <c r="F41" s="109">
        <f t="shared" si="1"/>
        <v>0</v>
      </c>
      <c r="G41" s="113">
        <f t="shared" si="1"/>
        <v>0</v>
      </c>
    </row>
    <row r="42" spans="1:10" ht="16.5" thickTop="1" thickBot="1" x14ac:dyDescent="0.3">
      <c r="B42" s="93"/>
      <c r="C42" s="94"/>
      <c r="D42" s="94"/>
      <c r="E42" s="94"/>
      <c r="F42" s="94"/>
      <c r="G42" s="95"/>
    </row>
    <row r="44" spans="1:10" thickBot="1" x14ac:dyDescent="0.4"/>
    <row r="45" spans="1:10" ht="33" customHeight="1" thickBot="1" x14ac:dyDescent="0.4">
      <c r="B45" s="389" t="s">
        <v>138</v>
      </c>
      <c r="C45" s="390"/>
      <c r="D45" s="390"/>
      <c r="E45" s="390"/>
      <c r="F45" s="390"/>
      <c r="G45" s="391"/>
    </row>
    <row r="46" spans="1:10" ht="14.45" x14ac:dyDescent="0.35">
      <c r="B46" s="89"/>
      <c r="C46" s="90"/>
      <c r="D46" s="115">
        <v>2021</v>
      </c>
      <c r="E46" s="115">
        <v>2022</v>
      </c>
      <c r="F46" s="115">
        <v>2023</v>
      </c>
      <c r="G46" s="114" t="s">
        <v>24</v>
      </c>
    </row>
    <row r="47" spans="1:10" ht="14.45" x14ac:dyDescent="0.35">
      <c r="B47" s="91" t="s">
        <v>139</v>
      </c>
      <c r="D47" s="110">
        <f>(VLOOKUP($F$9,LBMP!$B$16:$N$27,MATCH(D$46,LBMP!$B$16:$K$16,0),FALSE))</f>
        <v>25.23</v>
      </c>
      <c r="E47" s="110">
        <f>(VLOOKUP($F$9,LBMP!$B$16:$N$27,MATCH(E$46,LBMP!$B$16:$K$16,0),FALSE))</f>
        <v>28.24</v>
      </c>
      <c r="F47" s="110">
        <f>(VLOOKUP($F$9,LBMP!$B$16:$N$27,MATCH(F$46,LBMP!$B$16:$K$16,0),FALSE))</f>
        <v>34.049999999999997</v>
      </c>
      <c r="G47" s="111">
        <f>AVERAGE(D47:F47)</f>
        <v>29.173333333333332</v>
      </c>
    </row>
    <row r="48" spans="1:10" ht="14.45" x14ac:dyDescent="0.35">
      <c r="B48" s="112" t="s">
        <v>140</v>
      </c>
      <c r="D48" s="116">
        <f>+G41</f>
        <v>0</v>
      </c>
      <c r="E48" s="116">
        <f>+D48</f>
        <v>0</v>
      </c>
      <c r="F48" s="116">
        <f>+E48</f>
        <v>0</v>
      </c>
      <c r="G48" s="117">
        <f>AVERAGE(D48:F48)</f>
        <v>0</v>
      </c>
    </row>
    <row r="49" spans="1:7" ht="47.25" customHeight="1" thickBot="1" x14ac:dyDescent="0.4">
      <c r="B49" s="112" t="s">
        <v>147</v>
      </c>
      <c r="D49" s="209">
        <f>IF(+$D$33="NYISO Reference Bus Price",+D47*D48,"Do Not Use for Revenue Calculation")</f>
        <v>0</v>
      </c>
      <c r="E49" s="209">
        <f t="shared" ref="E49:F49" si="2">IF(+$D$33="NYISO Reference Bus Price",+E47*E48,"Do Not Use for Revenue Calculation")</f>
        <v>0</v>
      </c>
      <c r="F49" s="209">
        <f t="shared" si="2"/>
        <v>0</v>
      </c>
      <c r="G49" s="118">
        <f>AVERAGE(D49:F49)</f>
        <v>0</v>
      </c>
    </row>
    <row r="50" spans="1:7" ht="15.6" thickTop="1" thickBot="1" x14ac:dyDescent="0.4">
      <c r="B50" s="93"/>
      <c r="C50" s="94"/>
      <c r="D50" s="94"/>
      <c r="E50" s="94"/>
      <c r="F50" s="94"/>
      <c r="G50" s="95"/>
    </row>
    <row r="52" spans="1:7" ht="14.45" x14ac:dyDescent="0.35">
      <c r="A52" s="190" t="s">
        <v>166</v>
      </c>
    </row>
    <row r="53" spans="1:7" thickBot="1" x14ac:dyDescent="0.4"/>
    <row r="54" spans="1:7" thickBot="1" x14ac:dyDescent="0.4">
      <c r="B54" s="210" t="s">
        <v>164</v>
      </c>
      <c r="C54" s="211"/>
      <c r="D54" s="211"/>
      <c r="E54" s="211"/>
      <c r="F54" s="211"/>
      <c r="G54" s="212"/>
    </row>
    <row r="55" spans="1:7" x14ac:dyDescent="0.25">
      <c r="B55" s="89"/>
      <c r="C55" s="90"/>
      <c r="D55" s="115">
        <v>2018</v>
      </c>
      <c r="E55" s="115">
        <v>2019</v>
      </c>
      <c r="F55" s="115">
        <v>2020</v>
      </c>
      <c r="G55" s="114" t="s">
        <v>24</v>
      </c>
    </row>
    <row r="56" spans="1:7" ht="50.25" customHeight="1" thickBot="1" x14ac:dyDescent="0.3">
      <c r="B56" s="93" t="s">
        <v>161</v>
      </c>
      <c r="C56" s="94"/>
      <c r="D56" s="223" t="str">
        <f>IF(+$D$33="NYISO Reference Bus Price","Do Not Use for Revenue Calculation",+'General Data Sheet'!F38)</f>
        <v>Do Not Use for Revenue Calculation</v>
      </c>
      <c r="E56" s="223" t="str">
        <f>IF(+$D$33="NYISO Reference Bus Price","Do Not Use for Revenue Calculation",+'General Data Sheet'!G38)</f>
        <v>Do Not Use for Revenue Calculation</v>
      </c>
      <c r="F56" s="223" t="str">
        <f>IF(+$D$33="NYISO Reference Bus Price","Do Not Use for Revenue Calculation",+'General Data Sheet'!H38)</f>
        <v>Do Not Use for Revenue Calculation</v>
      </c>
      <c r="G56" s="213" t="e">
        <f>AVERAGE(D56:F56)</f>
        <v>#DIV/0!</v>
      </c>
    </row>
  </sheetData>
  <mergeCells count="7">
    <mergeCell ref="E4:G4"/>
    <mergeCell ref="E3:G3"/>
    <mergeCell ref="E1:G1"/>
    <mergeCell ref="B37:G37"/>
    <mergeCell ref="B45:G45"/>
    <mergeCell ref="B32:E32"/>
    <mergeCell ref="B8:F8"/>
  </mergeCells>
  <pageMargins left="0.25" right="0.25" top="0.75" bottom="0.75" header="0.3" footer="0.3"/>
  <pageSetup paperSize="3"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topLeftCell="A10" workbookViewId="0">
      <selection activeCell="F23" sqref="F23"/>
    </sheetView>
  </sheetViews>
  <sheetFormatPr defaultRowHeight="15" x14ac:dyDescent="0.25"/>
  <cols>
    <col min="1" max="1" width="4" customWidth="1"/>
    <col min="2" max="2" width="4.28515625" customWidth="1"/>
    <col min="3" max="3" width="60.140625" customWidth="1"/>
    <col min="4" max="4" width="3.5703125" customWidth="1"/>
    <col min="5" max="5" width="15.7109375" customWidth="1"/>
    <col min="6" max="7" width="27.7109375" customWidth="1"/>
  </cols>
  <sheetData>
    <row r="1" spans="1:7" ht="14.45" x14ac:dyDescent="0.35">
      <c r="A1" t="s">
        <v>29</v>
      </c>
      <c r="D1" s="377" t="s">
        <v>30</v>
      </c>
      <c r="E1" s="377"/>
      <c r="F1" s="377"/>
    </row>
    <row r="2" spans="1:7" ht="14.45" x14ac:dyDescent="0.35">
      <c r="A2" t="s">
        <v>31</v>
      </c>
      <c r="D2" s="384">
        <v>42948</v>
      </c>
      <c r="E2" s="384"/>
      <c r="F2" s="384"/>
    </row>
    <row r="3" spans="1:7" ht="14.45" x14ac:dyDescent="0.35">
      <c r="A3" t="s">
        <v>32</v>
      </c>
      <c r="D3" s="401"/>
      <c r="E3" s="401"/>
      <c r="F3" s="401"/>
    </row>
    <row r="4" spans="1:7" ht="14.45" x14ac:dyDescent="0.35">
      <c r="A4" t="s">
        <v>33</v>
      </c>
      <c r="D4" s="377"/>
      <c r="E4" s="377"/>
      <c r="F4" s="377"/>
    </row>
    <row r="5" spans="1:7" ht="14.45" x14ac:dyDescent="0.35">
      <c r="A5" t="s">
        <v>102</v>
      </c>
      <c r="D5" s="377" t="str">
        <f>+'General Data Sheet'!F26</f>
        <v>North</v>
      </c>
      <c r="E5" s="377"/>
      <c r="F5" s="377"/>
    </row>
    <row r="6" spans="1:7" thickBot="1" x14ac:dyDescent="0.4"/>
    <row r="7" spans="1:7" ht="69" customHeight="1" thickBot="1" x14ac:dyDescent="0.4">
      <c r="B7" s="398" t="s">
        <v>172</v>
      </c>
      <c r="C7" s="399"/>
      <c r="D7" s="399"/>
      <c r="E7" s="399"/>
      <c r="F7" s="399"/>
      <c r="G7" s="400"/>
    </row>
    <row r="8" spans="1:7" ht="14.45" x14ac:dyDescent="0.35">
      <c r="B8" s="201"/>
      <c r="C8" s="201"/>
      <c r="D8" s="201"/>
      <c r="E8" s="201"/>
      <c r="F8" s="201"/>
    </row>
    <row r="9" spans="1:7" ht="14.45" x14ac:dyDescent="0.35">
      <c r="C9" s="88" t="s">
        <v>150</v>
      </c>
    </row>
    <row r="10" spans="1:7" ht="29.1" x14ac:dyDescent="0.35">
      <c r="E10" s="203" t="s">
        <v>152</v>
      </c>
      <c r="F10" s="204" t="s">
        <v>155</v>
      </c>
      <c r="G10" s="203" t="s">
        <v>153</v>
      </c>
    </row>
    <row r="11" spans="1:7" ht="14.45" x14ac:dyDescent="0.35">
      <c r="B11" s="62" t="s">
        <v>54</v>
      </c>
      <c r="C11" s="62"/>
    </row>
    <row r="12" spans="1:7" ht="14.45" x14ac:dyDescent="0.35">
      <c r="B12" s="62" t="s">
        <v>55</v>
      </c>
      <c r="C12" s="62"/>
    </row>
    <row r="13" spans="1:7" ht="14.45" x14ac:dyDescent="0.35">
      <c r="B13" s="62" t="s">
        <v>56</v>
      </c>
      <c r="C13" s="62"/>
    </row>
    <row r="14" spans="1:7" ht="14.45" x14ac:dyDescent="0.35">
      <c r="B14" s="62" t="s">
        <v>57</v>
      </c>
      <c r="C14" s="62"/>
    </row>
    <row r="15" spans="1:7" ht="14.45" x14ac:dyDescent="0.35">
      <c r="B15" s="62" t="s">
        <v>58</v>
      </c>
      <c r="C15" s="62"/>
    </row>
    <row r="16" spans="1:7" ht="14.45" x14ac:dyDescent="0.35">
      <c r="B16" s="62" t="s">
        <v>59</v>
      </c>
      <c r="C16" s="62"/>
    </row>
    <row r="17" spans="2:3" ht="14.45" x14ac:dyDescent="0.35">
      <c r="B17" s="62" t="s">
        <v>60</v>
      </c>
      <c r="C17" s="62"/>
    </row>
    <row r="18" spans="2:3" ht="14.45" x14ac:dyDescent="0.35">
      <c r="B18" s="62" t="s">
        <v>61</v>
      </c>
      <c r="C18" s="62"/>
    </row>
    <row r="19" spans="2:3" ht="14.45" x14ac:dyDescent="0.35">
      <c r="B19" s="62"/>
      <c r="C19" s="62" t="s">
        <v>156</v>
      </c>
    </row>
    <row r="20" spans="2:3" ht="14.45" x14ac:dyDescent="0.35">
      <c r="B20" s="62"/>
      <c r="C20" s="62" t="s">
        <v>157</v>
      </c>
    </row>
    <row r="21" spans="2:3" ht="14.45" x14ac:dyDescent="0.35">
      <c r="B21" s="62"/>
      <c r="C21" s="62" t="s">
        <v>65</v>
      </c>
    </row>
    <row r="22" spans="2:3" ht="14.45" x14ac:dyDescent="0.35">
      <c r="B22" s="62"/>
      <c r="C22" s="62" t="s">
        <v>66</v>
      </c>
    </row>
    <row r="23" spans="2:3" ht="14.45" x14ac:dyDescent="0.35">
      <c r="B23" s="62"/>
      <c r="C23" s="62" t="s">
        <v>67</v>
      </c>
    </row>
    <row r="24" spans="2:3" x14ac:dyDescent="0.25">
      <c r="B24" s="62"/>
      <c r="C24" s="62" t="s">
        <v>68</v>
      </c>
    </row>
    <row r="25" spans="2:3" ht="14.45" x14ac:dyDescent="0.35">
      <c r="B25" s="62"/>
      <c r="C25" s="62" t="s">
        <v>69</v>
      </c>
    </row>
    <row r="26" spans="2:3" ht="14.45" x14ac:dyDescent="0.35">
      <c r="B26" s="62"/>
      <c r="C26" s="62" t="s">
        <v>70</v>
      </c>
    </row>
    <row r="27" spans="2:3" ht="14.45" x14ac:dyDescent="0.35">
      <c r="B27" s="62" t="s">
        <v>71</v>
      </c>
      <c r="C27" s="62"/>
    </row>
    <row r="28" spans="2:3" ht="14.45" x14ac:dyDescent="0.35">
      <c r="B28" s="62"/>
      <c r="C28" s="62" t="s">
        <v>72</v>
      </c>
    </row>
    <row r="29" spans="2:3" ht="14.45" x14ac:dyDescent="0.35">
      <c r="B29" s="62"/>
      <c r="C29" s="62" t="s">
        <v>73</v>
      </c>
    </row>
    <row r="30" spans="2:3" ht="14.45" x14ac:dyDescent="0.35">
      <c r="B30" s="62"/>
      <c r="C30" s="62" t="s">
        <v>110</v>
      </c>
    </row>
    <row r="31" spans="2:3" x14ac:dyDescent="0.25">
      <c r="B31" s="62"/>
      <c r="C31" s="62" t="s">
        <v>74</v>
      </c>
    </row>
    <row r="32" spans="2:3" x14ac:dyDescent="0.25">
      <c r="B32" s="62"/>
      <c r="C32" s="62" t="s">
        <v>75</v>
      </c>
    </row>
    <row r="33" spans="2:5" x14ac:dyDescent="0.25">
      <c r="B33" s="62"/>
      <c r="C33" s="62" t="s">
        <v>76</v>
      </c>
    </row>
    <row r="34" spans="2:5" x14ac:dyDescent="0.25">
      <c r="B34" s="62"/>
      <c r="C34" s="62" t="s">
        <v>77</v>
      </c>
    </row>
    <row r="35" spans="2:5" x14ac:dyDescent="0.25">
      <c r="B35" s="62"/>
      <c r="C35" s="62" t="s">
        <v>78</v>
      </c>
    </row>
    <row r="36" spans="2:5" x14ac:dyDescent="0.25">
      <c r="B36" s="62"/>
      <c r="C36" s="62" t="s">
        <v>79</v>
      </c>
    </row>
    <row r="37" spans="2:5" x14ac:dyDescent="0.25">
      <c r="B37" s="62"/>
      <c r="C37" s="62" t="s">
        <v>80</v>
      </c>
    </row>
    <row r="38" spans="2:5" x14ac:dyDescent="0.25">
      <c r="B38" s="62"/>
      <c r="C38" s="62" t="s">
        <v>158</v>
      </c>
    </row>
    <row r="39" spans="2:5" x14ac:dyDescent="0.25">
      <c r="B39" s="62"/>
      <c r="C39" s="62" t="s">
        <v>82</v>
      </c>
    </row>
    <row r="40" spans="2:5" x14ac:dyDescent="0.25">
      <c r="B40" s="62"/>
      <c r="C40" s="62" t="s">
        <v>83</v>
      </c>
    </row>
    <row r="41" spans="2:5" x14ac:dyDescent="0.25">
      <c r="B41" s="62"/>
      <c r="C41" s="62" t="s">
        <v>84</v>
      </c>
    </row>
    <row r="42" spans="2:5" x14ac:dyDescent="0.25">
      <c r="B42" s="62" t="s">
        <v>151</v>
      </c>
      <c r="C42" s="62"/>
    </row>
    <row r="43" spans="2:5" ht="15.75" x14ac:dyDescent="0.25">
      <c r="B43" s="62" t="s">
        <v>112</v>
      </c>
      <c r="C43" s="82"/>
    </row>
    <row r="44" spans="2:5" x14ac:dyDescent="0.25">
      <c r="B44" s="62" t="s">
        <v>111</v>
      </c>
    </row>
    <row r="45" spans="2:5" x14ac:dyDescent="0.25">
      <c r="C45" t="s">
        <v>154</v>
      </c>
    </row>
    <row r="46" spans="2:5" ht="15.75" thickBot="1" x14ac:dyDescent="0.3">
      <c r="E46" s="202">
        <f>SUM(E11:E45)</f>
        <v>0</v>
      </c>
    </row>
    <row r="47" spans="2:5" ht="15.75" thickTop="1" x14ac:dyDescent="0.25"/>
  </sheetData>
  <mergeCells count="6">
    <mergeCell ref="B7:G7"/>
    <mergeCell ref="D1:F1"/>
    <mergeCell ref="D2:F2"/>
    <mergeCell ref="D3:F3"/>
    <mergeCell ref="D4:F4"/>
    <mergeCell ref="D5:F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3"/>
  <sheetViews>
    <sheetView topLeftCell="E1" workbookViewId="0">
      <selection activeCell="X23" sqref="X23"/>
    </sheetView>
  </sheetViews>
  <sheetFormatPr defaultRowHeight="15" x14ac:dyDescent="0.25"/>
  <cols>
    <col min="4" max="4" width="10.85546875" customWidth="1"/>
    <col min="5" max="5" width="2.5703125" customWidth="1"/>
    <col min="6" max="6" width="12" customWidth="1"/>
    <col min="11" max="18" width="9.140625" customWidth="1"/>
    <col min="20" max="26" width="10.42578125" bestFit="1" customWidth="1"/>
    <col min="27" max="29" width="11" bestFit="1" customWidth="1"/>
  </cols>
  <sheetData>
    <row r="1" spans="1:31" ht="21" x14ac:dyDescent="0.35">
      <c r="A1" s="318" t="s">
        <v>185</v>
      </c>
      <c r="K1" s="229" t="s">
        <v>182</v>
      </c>
      <c r="R1" s="230"/>
    </row>
    <row r="2" spans="1:31" ht="15.75" thickBot="1" x14ac:dyDescent="0.3">
      <c r="K2" s="91"/>
      <c r="R2" s="230"/>
    </row>
    <row r="3" spans="1:31" ht="26.25" customHeight="1" x14ac:dyDescent="0.25">
      <c r="D3" s="405" t="s">
        <v>236</v>
      </c>
      <c r="E3" s="406"/>
      <c r="F3" s="406"/>
      <c r="G3" s="406"/>
      <c r="H3" s="406"/>
      <c r="I3" s="406"/>
      <c r="J3" s="407"/>
      <c r="K3" s="91" t="s">
        <v>183</v>
      </c>
      <c r="O3" t="s">
        <v>184</v>
      </c>
      <c r="R3" s="230"/>
    </row>
    <row r="4" spans="1:31" ht="26.25" customHeight="1" thickBot="1" x14ac:dyDescent="0.3">
      <c r="D4" s="408"/>
      <c r="E4" s="409"/>
      <c r="F4" s="409"/>
      <c r="G4" s="409"/>
      <c r="H4" s="409"/>
      <c r="I4" s="409"/>
      <c r="J4" s="410"/>
      <c r="K4" s="91"/>
      <c r="O4" s="237">
        <v>42491</v>
      </c>
      <c r="R4" s="230"/>
    </row>
    <row r="5" spans="1:31" ht="15.75" customHeight="1" x14ac:dyDescent="0.25">
      <c r="K5" s="402" t="s">
        <v>181</v>
      </c>
      <c r="L5" s="403"/>
      <c r="M5" s="403"/>
      <c r="N5" s="403"/>
      <c r="O5" s="403"/>
      <c r="P5" s="403"/>
      <c r="Q5" s="403"/>
      <c r="R5" s="230"/>
    </row>
    <row r="6" spans="1:31" ht="30" x14ac:dyDescent="0.25">
      <c r="D6" s="319" t="s">
        <v>235</v>
      </c>
      <c r="E6" s="319"/>
      <c r="F6" s="231"/>
      <c r="K6" s="91"/>
      <c r="R6" s="230"/>
    </row>
    <row r="7" spans="1:31" ht="15.75" thickBot="1" x14ac:dyDescent="0.3">
      <c r="D7" s="249">
        <v>2016</v>
      </c>
      <c r="E7" s="249"/>
      <c r="F7" s="250"/>
      <c r="K7" s="404"/>
      <c r="L7" s="358"/>
      <c r="M7" s="358"/>
      <c r="N7" s="358"/>
      <c r="P7" s="238">
        <v>24.24</v>
      </c>
      <c r="R7" s="230"/>
    </row>
    <row r="8" spans="1:31" ht="15.75" thickTop="1" x14ac:dyDescent="0.25">
      <c r="D8" s="249">
        <v>2017</v>
      </c>
      <c r="E8" s="249"/>
      <c r="F8" s="250"/>
      <c r="J8" s="340"/>
      <c r="K8" s="341"/>
      <c r="L8" s="341"/>
      <c r="M8" s="342" t="s">
        <v>270</v>
      </c>
      <c r="N8" s="341"/>
      <c r="O8" s="341"/>
      <c r="P8" s="341"/>
      <c r="Q8" s="341"/>
      <c r="R8" s="341"/>
      <c r="S8" s="341"/>
      <c r="T8" s="341"/>
      <c r="U8" s="341"/>
      <c r="V8" s="343"/>
    </row>
    <row r="9" spans="1:31" x14ac:dyDescent="0.25">
      <c r="D9" s="249">
        <v>2018</v>
      </c>
      <c r="E9" s="249"/>
      <c r="F9" s="250"/>
      <c r="J9" s="344"/>
      <c r="V9" s="345"/>
    </row>
    <row r="10" spans="1:31" x14ac:dyDescent="0.25">
      <c r="D10" s="249">
        <v>2019</v>
      </c>
      <c r="E10" s="249"/>
      <c r="F10" s="250"/>
      <c r="J10" s="344"/>
      <c r="M10" s="337">
        <v>2021</v>
      </c>
      <c r="N10" s="337">
        <v>2022</v>
      </c>
      <c r="O10" s="337">
        <v>2023</v>
      </c>
      <c r="P10" s="337">
        <v>2024</v>
      </c>
      <c r="Q10" s="337">
        <v>2025</v>
      </c>
      <c r="R10" s="337">
        <v>2026</v>
      </c>
      <c r="S10" s="337">
        <v>2027</v>
      </c>
      <c r="T10" s="337">
        <v>2028</v>
      </c>
      <c r="U10" s="337">
        <v>2029</v>
      </c>
      <c r="V10" s="346">
        <v>2030</v>
      </c>
    </row>
    <row r="11" spans="1:31" x14ac:dyDescent="0.25">
      <c r="D11" s="249">
        <v>2020</v>
      </c>
      <c r="E11" s="249"/>
      <c r="F11" s="250"/>
      <c r="J11" s="347" t="s">
        <v>259</v>
      </c>
      <c r="K11" t="s">
        <v>90</v>
      </c>
      <c r="M11" s="338">
        <v>18.767911339202886</v>
      </c>
      <c r="N11" s="338">
        <v>18.042657918042757</v>
      </c>
      <c r="O11" s="338">
        <v>12.948981205990584</v>
      </c>
      <c r="P11" s="338">
        <v>12.804339961456343</v>
      </c>
      <c r="Q11" s="338">
        <v>8.1763612714031613</v>
      </c>
      <c r="R11" s="338">
        <v>7.5466510322113489</v>
      </c>
      <c r="S11" s="338">
        <v>6.3898044722857046</v>
      </c>
      <c r="T11" s="338">
        <v>4.7198879288618123</v>
      </c>
      <c r="U11" s="338">
        <v>3.6432963491230872</v>
      </c>
      <c r="V11" s="348">
        <v>2.4800111909427316</v>
      </c>
      <c r="AC11" s="190"/>
    </row>
    <row r="12" spans="1:31" x14ac:dyDescent="0.25">
      <c r="D12" s="249">
        <v>2021</v>
      </c>
      <c r="E12" s="249"/>
      <c r="F12" s="250"/>
      <c r="J12" s="349" t="s">
        <v>260</v>
      </c>
      <c r="K12" t="s">
        <v>91</v>
      </c>
      <c r="M12" s="336">
        <v>20.56055743554591</v>
      </c>
      <c r="N12" s="336">
        <v>17.834371025545071</v>
      </c>
      <c r="O12" s="336">
        <v>12.772643842141282</v>
      </c>
      <c r="P12" s="336">
        <v>12.303239577894702</v>
      </c>
      <c r="Q12" s="336">
        <v>7.7540062024042156</v>
      </c>
      <c r="R12" s="336">
        <v>6.9447156192860797</v>
      </c>
      <c r="S12" s="336">
        <v>5.9610833660006479</v>
      </c>
      <c r="T12" s="336">
        <v>4.1347650165453604</v>
      </c>
      <c r="U12" s="336">
        <v>3.0464709785603019</v>
      </c>
      <c r="V12" s="350">
        <v>1.8712493129686978</v>
      </c>
      <c r="AC12" s="336"/>
    </row>
    <row r="13" spans="1:31" x14ac:dyDescent="0.25">
      <c r="D13" s="249">
        <v>2022</v>
      </c>
      <c r="E13" s="249"/>
      <c r="F13" s="250"/>
      <c r="J13" s="349" t="s">
        <v>261</v>
      </c>
      <c r="K13" t="s">
        <v>271</v>
      </c>
      <c r="M13" s="336">
        <v>19.063963956910722</v>
      </c>
      <c r="N13" s="336">
        <v>16.837652347454508</v>
      </c>
      <c r="O13" s="336">
        <v>12.14361143318161</v>
      </c>
      <c r="P13" s="336">
        <v>10.750905787579381</v>
      </c>
      <c r="Q13" s="336">
        <v>6.6142364618101457</v>
      </c>
      <c r="R13" s="336">
        <v>5.5448426733691534</v>
      </c>
      <c r="S13" s="336">
        <v>4.5617874134941347</v>
      </c>
      <c r="T13" s="336">
        <v>2.7414716209617165</v>
      </c>
      <c r="U13" s="336">
        <v>1.625311715064987</v>
      </c>
      <c r="V13" s="350">
        <v>0.42166686420347926</v>
      </c>
      <c r="AC13" s="336"/>
      <c r="AE13" s="337"/>
    </row>
    <row r="14" spans="1:31" x14ac:dyDescent="0.25">
      <c r="D14" s="249">
        <v>2023</v>
      </c>
      <c r="E14" s="249"/>
      <c r="F14" s="250"/>
      <c r="J14" s="349" t="s">
        <v>262</v>
      </c>
      <c r="K14" t="s">
        <v>93</v>
      </c>
      <c r="M14" s="336">
        <v>22.572127496199343</v>
      </c>
      <c r="N14" s="336">
        <v>19.892749888942589</v>
      </c>
      <c r="O14" s="336">
        <v>14.611038624030009</v>
      </c>
      <c r="P14" s="336">
        <v>13.71091359891064</v>
      </c>
      <c r="Q14" s="336">
        <v>9.1119403783178754</v>
      </c>
      <c r="R14" s="336">
        <v>8.3612482885103034</v>
      </c>
      <c r="S14" s="336">
        <v>7.4266556373674621</v>
      </c>
      <c r="T14" s="336">
        <v>5.7900106337198096</v>
      </c>
      <c r="U14" s="336">
        <v>4.7348215080782436</v>
      </c>
      <c r="V14" s="350">
        <v>3.5933668530769953</v>
      </c>
      <c r="AC14" s="336"/>
      <c r="AE14" s="337"/>
    </row>
    <row r="15" spans="1:31" x14ac:dyDescent="0.25">
      <c r="D15" s="249">
        <v>2024</v>
      </c>
      <c r="E15" s="249"/>
      <c r="F15" s="250"/>
      <c r="J15" s="349" t="s">
        <v>263</v>
      </c>
      <c r="K15" t="s">
        <v>94</v>
      </c>
      <c r="M15" s="336">
        <v>19.274411067398653</v>
      </c>
      <c r="N15" s="336">
        <v>16.899279763871466</v>
      </c>
      <c r="O15" s="336">
        <v>12.234512894979815</v>
      </c>
      <c r="P15" s="336">
        <v>10.682716768688794</v>
      </c>
      <c r="Q15" s="336">
        <v>6.6016864451059467</v>
      </c>
      <c r="R15" s="336">
        <v>5.5115010277304695</v>
      </c>
      <c r="S15" s="336">
        <v>4.5733570587227277</v>
      </c>
      <c r="T15" s="336">
        <v>2.7342200056949428</v>
      </c>
      <c r="U15" s="336">
        <v>1.6179150674928762</v>
      </c>
      <c r="V15" s="350">
        <v>0.41412228367992421</v>
      </c>
      <c r="AC15" s="336"/>
      <c r="AE15" s="337"/>
    </row>
    <row r="16" spans="1:31" x14ac:dyDescent="0.25">
      <c r="D16" s="249">
        <v>2025</v>
      </c>
      <c r="E16" s="249"/>
      <c r="F16" s="250"/>
      <c r="J16" s="349" t="s">
        <v>264</v>
      </c>
      <c r="K16" t="s">
        <v>95</v>
      </c>
      <c r="M16" s="336">
        <v>13.460315053853055</v>
      </c>
      <c r="N16" s="336">
        <v>12.305104257182537</v>
      </c>
      <c r="O16" s="336">
        <v>10.404335518734369</v>
      </c>
      <c r="P16" s="336">
        <v>9.4786120843194865</v>
      </c>
      <c r="Q16" s="336">
        <v>6.5745716846753375</v>
      </c>
      <c r="R16" s="336">
        <v>5.4483556282264392</v>
      </c>
      <c r="S16" s="336">
        <v>4.2796134397429277</v>
      </c>
      <c r="T16" s="336">
        <v>1.9702669000538202</v>
      </c>
      <c r="U16" s="336">
        <v>0.83868289973893595</v>
      </c>
      <c r="V16" s="350">
        <v>-0.38069452742909776</v>
      </c>
      <c r="AC16" s="336"/>
      <c r="AE16" s="337"/>
    </row>
    <row r="17" spans="4:31" x14ac:dyDescent="0.25">
      <c r="D17" s="249">
        <v>2026</v>
      </c>
      <c r="E17" s="249"/>
      <c r="F17" s="250"/>
      <c r="J17" s="349" t="s">
        <v>265</v>
      </c>
      <c r="K17" t="s">
        <v>96</v>
      </c>
      <c r="M17" s="336">
        <v>17.585834971681056</v>
      </c>
      <c r="N17" s="336">
        <v>14.796997006712347</v>
      </c>
      <c r="O17" s="336">
        <v>11.132468047988873</v>
      </c>
      <c r="P17" s="336">
        <v>9.3085947309936738</v>
      </c>
      <c r="Q17" s="336">
        <v>5.9375517633618156</v>
      </c>
      <c r="R17" s="336">
        <v>4.3195427159465627</v>
      </c>
      <c r="S17" s="336">
        <v>2.9940086020757075</v>
      </c>
      <c r="T17" s="336">
        <v>0.70385985304732601</v>
      </c>
      <c r="U17" s="336">
        <v>-0.42448564609506684</v>
      </c>
      <c r="V17" s="350">
        <v>-1.5978945896919394</v>
      </c>
      <c r="AC17" s="336"/>
      <c r="AE17" s="337"/>
    </row>
    <row r="18" spans="4:31" x14ac:dyDescent="0.25">
      <c r="D18" s="249">
        <v>2027</v>
      </c>
      <c r="E18" s="249"/>
      <c r="F18" s="250"/>
      <c r="J18" s="349" t="s">
        <v>266</v>
      </c>
      <c r="K18" t="s">
        <v>97</v>
      </c>
      <c r="M18" s="336">
        <v>17.42496223058415</v>
      </c>
      <c r="N18" s="336">
        <v>14.656577763802701</v>
      </c>
      <c r="O18" s="336">
        <v>11.032290811902566</v>
      </c>
      <c r="P18" s="336">
        <v>9.1533257433098392</v>
      </c>
      <c r="Q18" s="336">
        <v>5.8042527744271126</v>
      </c>
      <c r="R18" s="336">
        <v>4.1686853662608829</v>
      </c>
      <c r="S18" s="336">
        <v>2.8442379426322102</v>
      </c>
      <c r="T18" s="336">
        <v>0.55595440819863184</v>
      </c>
      <c r="U18" s="336">
        <v>-0.5753491998407293</v>
      </c>
      <c r="V18" s="350">
        <v>-1.7517754145125146</v>
      </c>
      <c r="AC18" s="336"/>
      <c r="AE18" s="337"/>
    </row>
    <row r="19" spans="4:31" x14ac:dyDescent="0.25">
      <c r="D19" s="249">
        <v>2028</v>
      </c>
      <c r="E19" s="249"/>
      <c r="F19" s="250"/>
      <c r="J19" s="349" t="s">
        <v>267</v>
      </c>
      <c r="K19" t="s">
        <v>98</v>
      </c>
      <c r="M19" s="336">
        <v>17.370835579744902</v>
      </c>
      <c r="N19" s="336">
        <v>14.611026406774906</v>
      </c>
      <c r="O19" s="336">
        <v>10.994815613183059</v>
      </c>
      <c r="P19" s="336">
        <v>9.1621743139919882</v>
      </c>
      <c r="Q19" s="336">
        <v>5.811347373621472</v>
      </c>
      <c r="R19" s="336">
        <v>4.1844532204402176</v>
      </c>
      <c r="S19" s="336">
        <v>2.8499237668549862</v>
      </c>
      <c r="T19" s="336">
        <v>0.57948121307675327</v>
      </c>
      <c r="U19" s="336">
        <v>-0.55135185886504912</v>
      </c>
      <c r="V19" s="350">
        <v>-1.7272981267173264</v>
      </c>
      <c r="AC19" s="336"/>
      <c r="AE19" s="337"/>
    </row>
    <row r="20" spans="4:31" x14ac:dyDescent="0.25">
      <c r="D20" s="249">
        <v>2029</v>
      </c>
      <c r="E20" s="249"/>
      <c r="F20" s="250"/>
      <c r="J20" s="349" t="s">
        <v>268</v>
      </c>
      <c r="K20" t="s">
        <v>100</v>
      </c>
      <c r="M20" s="336">
        <v>6.9191988474820265</v>
      </c>
      <c r="N20" s="336">
        <v>3.7942535123847754</v>
      </c>
      <c r="O20" s="336">
        <v>8.7358261084024239E-2</v>
      </c>
      <c r="P20" s="336">
        <v>-1.904869931966136</v>
      </c>
      <c r="Q20" s="336">
        <v>-5.2453388628738926</v>
      </c>
      <c r="R20" s="336">
        <v>-6.8490996866787599</v>
      </c>
      <c r="S20" s="336">
        <v>-8.1877003612070851</v>
      </c>
      <c r="T20" s="336">
        <v>-10.341998008991403</v>
      </c>
      <c r="U20" s="336">
        <v>-11.318065442157266</v>
      </c>
      <c r="V20" s="350">
        <v>-12.313790823454973</v>
      </c>
      <c r="AC20" s="336"/>
      <c r="AE20" s="337"/>
    </row>
    <row r="21" spans="4:31" x14ac:dyDescent="0.25">
      <c r="D21" s="249">
        <v>2030</v>
      </c>
      <c r="E21" s="249"/>
      <c r="F21" s="250"/>
      <c r="J21" s="349" t="s">
        <v>269</v>
      </c>
      <c r="K21" t="s">
        <v>99</v>
      </c>
      <c r="M21" s="336">
        <v>36.959455379162286</v>
      </c>
      <c r="N21" s="336">
        <v>35.702856546668635</v>
      </c>
      <c r="O21" s="336">
        <v>33.064059521907097</v>
      </c>
      <c r="P21" s="336">
        <v>31.751327446630285</v>
      </c>
      <c r="Q21" s="336">
        <v>29.03781094158456</v>
      </c>
      <c r="R21" s="336">
        <v>27.725025966324704</v>
      </c>
      <c r="S21" s="336">
        <v>26.653476346858767</v>
      </c>
      <c r="T21" s="336">
        <v>24.172528094056048</v>
      </c>
      <c r="U21" s="336">
        <v>22.977821317621196</v>
      </c>
      <c r="V21" s="350">
        <v>21.694058658810814</v>
      </c>
      <c r="AC21" s="336"/>
      <c r="AE21" s="337"/>
    </row>
    <row r="22" spans="4:31" ht="15.75" thickBot="1" x14ac:dyDescent="0.3">
      <c r="D22" s="249"/>
      <c r="E22" s="249"/>
      <c r="F22" s="249"/>
      <c r="J22" s="351"/>
      <c r="K22" s="352"/>
      <c r="L22" s="352"/>
      <c r="M22" s="352"/>
      <c r="N22" s="352"/>
      <c r="O22" s="352"/>
      <c r="P22" s="352"/>
      <c r="Q22" s="352"/>
      <c r="R22" s="352"/>
      <c r="S22" s="352"/>
      <c r="T22" s="353"/>
      <c r="U22" s="353"/>
      <c r="V22" s="354"/>
      <c r="W22" s="336"/>
      <c r="X22" s="336"/>
      <c r="Y22" s="336"/>
      <c r="Z22" s="336"/>
      <c r="AA22" s="336"/>
      <c r="AB22" s="336"/>
      <c r="AC22" s="336"/>
      <c r="AE22" s="337"/>
    </row>
    <row r="23" spans="4:31" ht="15.75" thickTop="1" x14ac:dyDescent="0.25"/>
  </sheetData>
  <mergeCells count="3">
    <mergeCell ref="K5:Q5"/>
    <mergeCell ref="K7:N7"/>
    <mergeCell ref="D3:J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U46"/>
  <sheetViews>
    <sheetView topLeftCell="A43" workbookViewId="0">
      <selection activeCell="M74" sqref="M74"/>
    </sheetView>
  </sheetViews>
  <sheetFormatPr defaultRowHeight="15" x14ac:dyDescent="0.25"/>
  <cols>
    <col min="2" max="2" width="21.140625" customWidth="1"/>
    <col min="3" max="3" width="2.7109375" customWidth="1"/>
    <col min="4" max="4" width="13.140625" customWidth="1"/>
    <col min="5" max="5" width="2.7109375" customWidth="1"/>
    <col min="7" max="7" width="2.7109375" customWidth="1"/>
    <col min="8" max="8" width="11" customWidth="1"/>
    <col min="9" max="9" width="2.7109375" customWidth="1"/>
    <col min="10" max="10" width="10" customWidth="1"/>
  </cols>
  <sheetData>
    <row r="3" spans="1:21" ht="14.45" x14ac:dyDescent="0.35">
      <c r="A3" t="s">
        <v>29</v>
      </c>
      <c r="E3" s="384">
        <f>+'Pro forma'!E4:G4</f>
        <v>0</v>
      </c>
      <c r="F3" s="377"/>
      <c r="G3" s="377"/>
    </row>
    <row r="4" spans="1:21" ht="14.45" x14ac:dyDescent="0.35">
      <c r="A4" t="s">
        <v>31</v>
      </c>
      <c r="E4" s="384">
        <f>+'Pro forma'!E5:G5</f>
        <v>0</v>
      </c>
      <c r="F4" s="384"/>
      <c r="G4" s="384"/>
    </row>
    <row r="5" spans="1:21" ht="14.45" x14ac:dyDescent="0.35">
      <c r="A5" t="s">
        <v>32</v>
      </c>
      <c r="E5" s="414">
        <f>+'Pro forma'!E6:G6</f>
        <v>0</v>
      </c>
      <c r="F5" s="401"/>
      <c r="G5" s="401"/>
    </row>
    <row r="6" spans="1:21" ht="14.45" x14ac:dyDescent="0.35">
      <c r="A6" t="s">
        <v>33</v>
      </c>
      <c r="E6" s="384">
        <f>+'Pro forma'!E7:G7</f>
        <v>0</v>
      </c>
      <c r="F6" s="377"/>
      <c r="G6" s="377"/>
    </row>
    <row r="7" spans="1:21" ht="14.45" x14ac:dyDescent="0.35">
      <c r="A7" t="s">
        <v>102</v>
      </c>
      <c r="E7" s="377" t="str">
        <f>+'General Data Sheet'!F26</f>
        <v>North</v>
      </c>
      <c r="F7" s="377"/>
      <c r="G7" s="377"/>
    </row>
    <row r="10" spans="1:21" ht="14.45" x14ac:dyDescent="0.35">
      <c r="B10" s="415" t="s">
        <v>180</v>
      </c>
      <c r="C10" s="415"/>
      <c r="D10" s="415"/>
      <c r="E10" s="415"/>
      <c r="F10" s="415"/>
      <c r="G10" s="415"/>
      <c r="H10" s="415"/>
      <c r="I10" s="415"/>
      <c r="J10" s="415"/>
    </row>
    <row r="11" spans="1:21" ht="14.45" x14ac:dyDescent="0.35"/>
    <row r="12" spans="1:21" ht="57.95" x14ac:dyDescent="0.35">
      <c r="D12" s="312" t="s">
        <v>231</v>
      </c>
      <c r="E12" s="314"/>
      <c r="F12" s="313" t="s">
        <v>178</v>
      </c>
      <c r="G12" s="314"/>
      <c r="H12" s="201" t="s">
        <v>232</v>
      </c>
      <c r="I12" s="314"/>
      <c r="J12" s="312" t="s">
        <v>233</v>
      </c>
    </row>
    <row r="13" spans="1:21" ht="16.5" x14ac:dyDescent="0.35">
      <c r="B13" t="s">
        <v>176</v>
      </c>
      <c r="D13" s="232">
        <v>0.52</v>
      </c>
      <c r="E13" s="284">
        <v>2</v>
      </c>
      <c r="F13" s="232">
        <v>3.2000000000000001E-2</v>
      </c>
      <c r="H13" s="232">
        <f>+D13*F13</f>
        <v>1.6640000000000002E-2</v>
      </c>
      <c r="J13" s="233">
        <f>+H13</f>
        <v>1.6640000000000002E-2</v>
      </c>
      <c r="O13" s="227"/>
      <c r="Q13" s="277"/>
      <c r="R13" s="227"/>
      <c r="S13" s="227"/>
      <c r="U13" s="227"/>
    </row>
    <row r="14" spans="1:21" ht="16.5" x14ac:dyDescent="0.35">
      <c r="B14" t="s">
        <v>177</v>
      </c>
      <c r="D14" s="234">
        <v>0.48</v>
      </c>
      <c r="E14" s="315">
        <v>5</v>
      </c>
      <c r="F14" s="232">
        <v>0.09</v>
      </c>
      <c r="H14" s="235">
        <f t="shared" ref="H14" si="0">+D14*F14</f>
        <v>4.3199999999999995E-2</v>
      </c>
      <c r="J14" s="234">
        <v>5.8999999999999997E-2</v>
      </c>
      <c r="K14" s="284" t="s">
        <v>234</v>
      </c>
    </row>
    <row r="15" spans="1:21" ht="18.600000000000001" x14ac:dyDescent="0.45">
      <c r="D15" s="232">
        <f>SUM(D13:D14)</f>
        <v>1</v>
      </c>
      <c r="H15" s="233">
        <f>SUM(H13:H14)</f>
        <v>5.9839999999999997E-2</v>
      </c>
      <c r="I15" s="316">
        <v>3</v>
      </c>
      <c r="J15" s="236">
        <f>SUM(J13:J14)</f>
        <v>7.5639999999999999E-2</v>
      </c>
      <c r="O15" s="233"/>
      <c r="P15" s="233"/>
      <c r="Q15" s="278"/>
      <c r="R15" s="278"/>
      <c r="S15" s="233"/>
      <c r="T15" s="233"/>
      <c r="U15" s="233"/>
    </row>
    <row r="16" spans="1:21" ht="14.45" x14ac:dyDescent="0.35">
      <c r="O16" s="233"/>
      <c r="P16" s="233"/>
      <c r="Q16" s="278"/>
      <c r="R16" s="278"/>
      <c r="S16" s="233"/>
      <c r="T16" s="233"/>
      <c r="U16" s="233"/>
    </row>
    <row r="17" spans="2:21" ht="14.45" x14ac:dyDescent="0.35">
      <c r="O17" s="233"/>
      <c r="P17" s="233"/>
      <c r="Q17" s="278"/>
      <c r="R17" s="278"/>
      <c r="S17" s="233"/>
      <c r="T17" s="233"/>
      <c r="U17" s="233"/>
    </row>
    <row r="18" spans="2:21" ht="14.45" x14ac:dyDescent="0.35">
      <c r="B18" t="s">
        <v>179</v>
      </c>
      <c r="D18" s="232">
        <v>0.26140000000000002</v>
      </c>
      <c r="O18" s="233"/>
      <c r="P18" s="233"/>
      <c r="Q18" s="278"/>
      <c r="R18" s="278"/>
      <c r="S18" s="233"/>
      <c r="T18" s="233"/>
      <c r="U18" s="233"/>
    </row>
    <row r="19" spans="2:21" x14ac:dyDescent="0.25">
      <c r="O19" s="233"/>
      <c r="P19" s="233"/>
      <c r="Q19" s="278"/>
      <c r="R19" s="278"/>
      <c r="S19" s="233"/>
      <c r="T19" s="233"/>
      <c r="U19" s="233"/>
    </row>
    <row r="20" spans="2:21" x14ac:dyDescent="0.25">
      <c r="O20" s="233"/>
      <c r="P20" s="233"/>
      <c r="Q20" s="278"/>
      <c r="R20" s="278"/>
      <c r="S20" s="233"/>
      <c r="T20" s="233"/>
      <c r="U20" s="233"/>
    </row>
    <row r="21" spans="2:21" ht="29.25" customHeight="1" x14ac:dyDescent="0.25">
      <c r="B21" s="411" t="s">
        <v>187</v>
      </c>
      <c r="C21" s="412"/>
      <c r="D21" s="412"/>
      <c r="E21" s="412"/>
      <c r="F21" s="412"/>
      <c r="G21" s="412"/>
      <c r="H21" s="412"/>
      <c r="I21" s="412"/>
      <c r="J21" s="413"/>
      <c r="O21" s="233"/>
      <c r="P21" s="233"/>
      <c r="Q21" s="278"/>
      <c r="R21" s="278"/>
      <c r="S21" s="233"/>
      <c r="T21" s="233"/>
      <c r="U21" s="233"/>
    </row>
    <row r="22" spans="2:21" x14ac:dyDescent="0.25">
      <c r="Q22" s="233"/>
      <c r="T22" s="279"/>
    </row>
    <row r="23" spans="2:21" x14ac:dyDescent="0.25">
      <c r="O23" s="233"/>
    </row>
    <row r="24" spans="2:21" x14ac:dyDescent="0.25">
      <c r="B24" s="224" t="s">
        <v>238</v>
      </c>
      <c r="O24" s="233"/>
    </row>
    <row r="25" spans="2:21" ht="17.25" x14ac:dyDescent="0.25">
      <c r="B25" s="283" t="s">
        <v>222</v>
      </c>
      <c r="C25" s="284">
        <v>6</v>
      </c>
      <c r="D25" s="285">
        <v>0.21</v>
      </c>
      <c r="O25" s="233"/>
      <c r="R25" s="61"/>
      <c r="S25" s="61"/>
    </row>
    <row r="26" spans="2:21" ht="17.25" x14ac:dyDescent="0.25">
      <c r="B26" s="283" t="s">
        <v>223</v>
      </c>
      <c r="C26" s="284">
        <v>6</v>
      </c>
      <c r="D26" s="285">
        <v>6.5000000000000002E-2</v>
      </c>
      <c r="O26" s="233"/>
    </row>
    <row r="27" spans="2:21" x14ac:dyDescent="0.25">
      <c r="O27" s="233"/>
    </row>
    <row r="28" spans="2:21" ht="17.25" x14ac:dyDescent="0.25">
      <c r="B28" s="287" t="s">
        <v>224</v>
      </c>
      <c r="C28" s="288"/>
      <c r="D28" s="289"/>
      <c r="E28" s="290"/>
      <c r="F28" s="291"/>
      <c r="G28" s="289"/>
      <c r="H28" s="289"/>
      <c r="O28" s="233"/>
    </row>
    <row r="29" spans="2:21" x14ac:dyDescent="0.25">
      <c r="B29" s="292"/>
      <c r="C29" s="293"/>
      <c r="D29" s="294"/>
      <c r="E29" s="295"/>
      <c r="F29" s="294"/>
      <c r="G29" s="294"/>
      <c r="H29" s="294"/>
    </row>
    <row r="30" spans="2:21" ht="17.25" x14ac:dyDescent="0.25">
      <c r="B30" s="287" t="s">
        <v>225</v>
      </c>
      <c r="C30" s="293"/>
      <c r="D30" s="294"/>
      <c r="E30" s="295"/>
      <c r="G30" s="297"/>
      <c r="J30" s="296">
        <v>3.2000000000000001E-2</v>
      </c>
    </row>
    <row r="31" spans="2:21" x14ac:dyDescent="0.25">
      <c r="B31" s="298"/>
      <c r="C31" s="299"/>
      <c r="D31" s="294"/>
      <c r="E31" s="295"/>
      <c r="G31" s="294"/>
      <c r="J31" s="294"/>
    </row>
    <row r="32" spans="2:21" ht="17.25" x14ac:dyDescent="0.25">
      <c r="B32" s="287" t="s">
        <v>226</v>
      </c>
      <c r="C32" s="293"/>
      <c r="D32" s="294"/>
      <c r="E32" s="295"/>
      <c r="G32" s="294"/>
      <c r="J32" s="296">
        <f>+H15</f>
        <v>5.9839999999999997E-2</v>
      </c>
    </row>
    <row r="33" spans="2:10" x14ac:dyDescent="0.25">
      <c r="B33" s="292"/>
      <c r="C33" s="293"/>
      <c r="D33" s="300"/>
      <c r="E33" s="290"/>
      <c r="G33" s="300"/>
      <c r="J33" s="294"/>
    </row>
    <row r="34" spans="2:10" ht="17.25" x14ac:dyDescent="0.25">
      <c r="B34" s="287" t="s">
        <v>273</v>
      </c>
      <c r="C34" s="293"/>
      <c r="D34" s="301"/>
      <c r="E34" s="302"/>
      <c r="G34" s="292"/>
      <c r="J34" s="296">
        <v>2.4E-2</v>
      </c>
    </row>
    <row r="35" spans="2:10" x14ac:dyDescent="0.25">
      <c r="B35" s="292"/>
      <c r="C35" s="303"/>
      <c r="D35" s="292"/>
      <c r="E35" s="286"/>
      <c r="G35" s="292"/>
      <c r="J35" s="292"/>
    </row>
    <row r="36" spans="2:10" ht="17.25" x14ac:dyDescent="0.25">
      <c r="B36" s="287" t="s">
        <v>227</v>
      </c>
      <c r="C36" s="293"/>
      <c r="D36" s="292"/>
      <c r="E36" s="286"/>
      <c r="G36" s="292"/>
      <c r="J36" s="296">
        <v>0.09</v>
      </c>
    </row>
    <row r="37" spans="2:10" x14ac:dyDescent="0.25">
      <c r="B37" s="292" t="s">
        <v>253</v>
      </c>
      <c r="C37" s="293"/>
      <c r="D37" s="292"/>
      <c r="E37" s="286"/>
      <c r="G37" s="292"/>
      <c r="J37" s="292"/>
    </row>
    <row r="38" spans="2:10" x14ac:dyDescent="0.25">
      <c r="B38" s="292"/>
      <c r="C38" s="293"/>
      <c r="D38" s="292"/>
      <c r="E38" s="286"/>
      <c r="G38" s="292"/>
      <c r="J38" s="292"/>
    </row>
    <row r="39" spans="2:10" x14ac:dyDescent="0.25">
      <c r="B39" s="304" t="s">
        <v>228</v>
      </c>
      <c r="C39" s="293"/>
      <c r="D39" s="292"/>
      <c r="E39" s="286"/>
      <c r="G39" s="292"/>
      <c r="J39" s="292"/>
    </row>
    <row r="40" spans="2:10" ht="15.75" thickBot="1" x14ac:dyDescent="0.3">
      <c r="B40" s="292" t="s">
        <v>229</v>
      </c>
      <c r="C40" s="293"/>
      <c r="D40" s="292"/>
      <c r="E40" s="286"/>
      <c r="G40" s="292"/>
      <c r="J40" s="305">
        <f>((1+H15)/(1+J34)-1)</f>
        <v>3.499999999999992E-2</v>
      </c>
    </row>
    <row r="41" spans="2:10" ht="15.75" thickBot="1" x14ac:dyDescent="0.3">
      <c r="B41" s="292"/>
      <c r="C41" s="306" t="s">
        <v>230</v>
      </c>
      <c r="D41" s="307"/>
      <c r="E41" s="308"/>
      <c r="G41" s="292"/>
      <c r="J41" s="309">
        <v>3.5999999999999997E-2</v>
      </c>
    </row>
    <row r="42" spans="2:10" ht="15.75" thickTop="1" x14ac:dyDescent="0.25">
      <c r="B42" s="292"/>
      <c r="C42" s="293"/>
      <c r="D42" s="292"/>
      <c r="E42" s="286"/>
      <c r="F42" s="292"/>
      <c r="G42" s="292"/>
      <c r="H42" s="292"/>
    </row>
    <row r="43" spans="2:10" x14ac:dyDescent="0.25">
      <c r="B43" s="292"/>
      <c r="C43" s="310"/>
      <c r="D43" s="292"/>
      <c r="E43" s="286"/>
      <c r="F43" s="292"/>
      <c r="G43" s="292"/>
      <c r="H43" s="292"/>
    </row>
    <row r="44" spans="2:10" ht="17.25" x14ac:dyDescent="0.25">
      <c r="B44" s="317" t="s">
        <v>274</v>
      </c>
      <c r="C44" s="317"/>
      <c r="D44" s="317"/>
      <c r="E44" s="317"/>
      <c r="F44" s="317"/>
      <c r="G44" s="317"/>
      <c r="H44" s="317"/>
    </row>
    <row r="45" spans="2:10" ht="17.25" x14ac:dyDescent="0.25">
      <c r="B45" s="292" t="s">
        <v>272</v>
      </c>
      <c r="C45" s="311"/>
      <c r="D45" s="292"/>
      <c r="E45" s="286"/>
      <c r="F45" s="292"/>
      <c r="G45" s="292"/>
      <c r="H45" s="292"/>
    </row>
    <row r="46" spans="2:10" x14ac:dyDescent="0.25">
      <c r="B46" s="292"/>
      <c r="C46" s="310"/>
      <c r="D46" s="292"/>
      <c r="E46" s="286"/>
      <c r="F46" s="292"/>
      <c r="G46" s="292"/>
      <c r="H46" s="292"/>
    </row>
  </sheetData>
  <mergeCells count="7">
    <mergeCell ref="B21:J21"/>
    <mergeCell ref="E3:G3"/>
    <mergeCell ref="E4:G4"/>
    <mergeCell ref="E5:G5"/>
    <mergeCell ref="E6:G6"/>
    <mergeCell ref="E7:G7"/>
    <mergeCell ref="B10:J1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7"/>
  <sheetViews>
    <sheetView topLeftCell="A31" workbookViewId="0">
      <selection activeCell="L5" sqref="L5"/>
    </sheetView>
  </sheetViews>
  <sheetFormatPr defaultRowHeight="15" x14ac:dyDescent="0.25"/>
  <cols>
    <col min="1" max="1" width="18.42578125" customWidth="1"/>
    <col min="2" max="2" width="2.7109375" customWidth="1"/>
    <col min="8" max="8" width="3.85546875" customWidth="1"/>
    <col min="10" max="10" width="2.7109375" customWidth="1"/>
    <col min="16" max="16" width="2.7109375" customWidth="1"/>
    <col min="17" max="17" width="5.42578125" customWidth="1"/>
    <col min="18" max="18" width="2.7109375" customWidth="1"/>
    <col min="19" max="19" width="28.28515625" customWidth="1"/>
    <col min="20" max="22" width="13.7109375" customWidth="1"/>
    <col min="23" max="23" width="2.7109375" customWidth="1"/>
  </cols>
  <sheetData>
    <row r="1" spans="1:23" ht="14.45" x14ac:dyDescent="0.35">
      <c r="A1" t="s">
        <v>29</v>
      </c>
      <c r="E1" s="377">
        <f>+'Pro forma'!E4</f>
        <v>0</v>
      </c>
      <c r="F1" s="377"/>
      <c r="G1" s="377"/>
    </row>
    <row r="2" spans="1:23" ht="14.45" x14ac:dyDescent="0.35">
      <c r="A2" t="s">
        <v>31</v>
      </c>
      <c r="E2" s="12">
        <f>+'Pro forma'!E5</f>
        <v>0</v>
      </c>
      <c r="F2" s="12"/>
      <c r="G2" s="12"/>
    </row>
    <row r="3" spans="1:23" ht="14.45" x14ac:dyDescent="0.35">
      <c r="A3" t="s">
        <v>33</v>
      </c>
      <c r="E3" s="384">
        <f>+'General Data Sheet'!F22</f>
        <v>0</v>
      </c>
      <c r="F3" s="377"/>
      <c r="G3" s="377"/>
    </row>
    <row r="4" spans="1:23" ht="14.45" x14ac:dyDescent="0.35">
      <c r="A4" t="str">
        <f>+'General Data Sheet'!B26</f>
        <v>NYISO Zone</v>
      </c>
      <c r="E4" s="251" t="str">
        <f>+'General Data Sheet'!F26</f>
        <v>North</v>
      </c>
      <c r="F4" s="251"/>
      <c r="G4" s="251"/>
    </row>
    <row r="5" spans="1:23" ht="14.45" x14ac:dyDescent="0.35">
      <c r="A5" t="s">
        <v>194</v>
      </c>
      <c r="E5" s="251" t="str">
        <f>IF(+E4="West","Rest-of-State",IF(+E4="Genesee","Rest-of-State",IF(+E4="Central","Rest-of-State",IF(+E4="North","Rest-of-State",IF(+E4="Mohawk Valley","Rest-of-State",IF(+E4="Capital","Rest-of-State",IF(+E4="Hudson Valley","Lower Hudson Valley",IF(+E4="Millwood","Lower Hudson Valley",IF(+E4="Dunwoodie","Lower Hudson Valley",IF(+E4="New York City","NYC",IF(+E4="Long Island","Long Island","Error")))))))))))</f>
        <v>Rest-of-State</v>
      </c>
      <c r="F5" s="251"/>
      <c r="G5" s="251"/>
    </row>
    <row r="6" spans="1:23" ht="14.45" x14ac:dyDescent="0.35">
      <c r="A6" t="s">
        <v>193</v>
      </c>
      <c r="E6" s="255">
        <f>+'General Data Sheet'!F19</f>
        <v>0</v>
      </c>
      <c r="F6" s="251"/>
      <c r="G6" s="251"/>
    </row>
    <row r="7" spans="1:23" ht="14.45" x14ac:dyDescent="0.35">
      <c r="A7" t="s">
        <v>217</v>
      </c>
      <c r="E7" s="255">
        <f>+'General Data Sheet'!F20</f>
        <v>0</v>
      </c>
      <c r="F7" s="251"/>
      <c r="G7" s="251"/>
    </row>
    <row r="8" spans="1:23" ht="14.45" x14ac:dyDescent="0.35">
      <c r="A8" t="s">
        <v>218</v>
      </c>
      <c r="E8" s="255">
        <f>+'General Data Sheet'!F21</f>
        <v>0</v>
      </c>
      <c r="F8" s="251"/>
      <c r="G8" s="251"/>
    </row>
    <row r="9" spans="1:23" ht="15.75" thickBot="1" x14ac:dyDescent="0.3"/>
    <row r="10" spans="1:23" ht="33" customHeight="1" x14ac:dyDescent="0.25">
      <c r="B10" s="417" t="s">
        <v>255</v>
      </c>
      <c r="C10" s="418"/>
      <c r="D10" s="418"/>
      <c r="E10" s="418"/>
      <c r="F10" s="418"/>
      <c r="G10" s="418"/>
      <c r="H10" s="419"/>
      <c r="J10" s="417" t="s">
        <v>255</v>
      </c>
      <c r="K10" s="418"/>
      <c r="L10" s="418"/>
      <c r="M10" s="418"/>
      <c r="N10" s="418"/>
      <c r="O10" s="418"/>
      <c r="P10" s="419"/>
      <c r="Q10" s="231"/>
    </row>
    <row r="11" spans="1:23" ht="15.75" thickBot="1" x14ac:dyDescent="0.3">
      <c r="B11" s="91"/>
      <c r="H11" s="230"/>
      <c r="J11" s="91"/>
      <c r="P11" s="230"/>
    </row>
    <row r="12" spans="1:23" ht="14.45" x14ac:dyDescent="0.35">
      <c r="B12" s="91"/>
      <c r="C12" s="416" t="s">
        <v>210</v>
      </c>
      <c r="D12" s="416"/>
      <c r="E12" s="416"/>
      <c r="F12" s="416"/>
      <c r="G12" s="416"/>
      <c r="H12" s="230"/>
      <c r="J12" s="91"/>
      <c r="K12" s="416" t="s">
        <v>211</v>
      </c>
      <c r="L12" s="416"/>
      <c r="M12" s="416"/>
      <c r="N12" s="416"/>
      <c r="O12" s="416"/>
      <c r="P12" s="230"/>
      <c r="R12" s="89"/>
      <c r="S12" s="90"/>
      <c r="T12" s="90"/>
      <c r="U12" s="90"/>
      <c r="V12" s="90"/>
      <c r="W12" s="228"/>
    </row>
    <row r="13" spans="1:23" ht="43.5" x14ac:dyDescent="0.35">
      <c r="B13" s="91"/>
      <c r="D13" s="227" t="s">
        <v>189</v>
      </c>
      <c r="E13" s="260" t="s">
        <v>190</v>
      </c>
      <c r="F13" s="260" t="s">
        <v>99</v>
      </c>
      <c r="G13" s="260" t="s">
        <v>191</v>
      </c>
      <c r="H13" s="230"/>
      <c r="J13" s="91"/>
      <c r="L13" s="227" t="s">
        <v>189</v>
      </c>
      <c r="M13" s="260" t="s">
        <v>190</v>
      </c>
      <c r="N13" s="260" t="s">
        <v>99</v>
      </c>
      <c r="O13" s="260" t="s">
        <v>191</v>
      </c>
      <c r="P13" s="230"/>
      <c r="R13" s="91"/>
      <c r="T13" s="88">
        <v>2021</v>
      </c>
      <c r="U13" s="88">
        <v>2022</v>
      </c>
      <c r="V13" s="88">
        <v>2023</v>
      </c>
      <c r="W13" s="230"/>
    </row>
    <row r="14" spans="1:23" ht="14.45" x14ac:dyDescent="0.35">
      <c r="B14" s="91"/>
      <c r="C14">
        <v>2020</v>
      </c>
      <c r="D14" s="92">
        <v>21.596403009855436</v>
      </c>
      <c r="E14" s="92">
        <v>3.8519342267791163</v>
      </c>
      <c r="F14" s="92">
        <v>7.3877574815189142</v>
      </c>
      <c r="G14" s="92">
        <v>3.8519342267791163</v>
      </c>
      <c r="H14" s="230"/>
      <c r="J14" s="91"/>
      <c r="K14">
        <v>2020</v>
      </c>
      <c r="L14" s="92">
        <v>11.609389118632887</v>
      </c>
      <c r="M14" s="92">
        <v>1.8289397401204326</v>
      </c>
      <c r="N14" s="92">
        <v>1.8289397401204326</v>
      </c>
      <c r="O14" s="92">
        <v>1.8289397401204326</v>
      </c>
      <c r="P14" s="230"/>
      <c r="R14" s="91"/>
      <c r="S14" s="4" t="s">
        <v>212</v>
      </c>
      <c r="T14" s="3">
        <f>IF(+$E$5="NYC",VLOOKUP(T13,'Capacity Revenues'!$C13:$G35,2,FALSE),IF(+$E$5="Lower Hudson Valley",VLOOKUP(T13,'Capacity Revenues'!$C13:$G35,3,FALSE),IF(+$E$5="Long Island",VLOOKUP(T13,'Capacity Revenues'!$C13:$G35,4,FALSE),IF(+$E$5="Rest-of-State",VLOOKUP(T13,'Capacity Revenues'!$C13:$G35,5,FALSE),"ERROR"))))</f>
        <v>4.681106853178961</v>
      </c>
      <c r="U14" s="3">
        <f>IF(+$E$5="NYC",VLOOKUP(U13,'Capacity Revenues'!$C13:$G35,2,FALSE),IF(+$E$5="Lower Hudson Valley",VLOOKUP(U13,'Capacity Revenues'!$C13:$G35,3,FALSE),IF(+$E$5="Long Island",VLOOKUP(U13,'Capacity Revenues'!$C13:$G35,4,FALSE),IF(+$E$5="Rest-of-State",VLOOKUP(U13,'Capacity Revenues'!$C13:$G35,5,FALSE),"ERROR"))))</f>
        <v>4.5113466916606351</v>
      </c>
      <c r="V14" s="3">
        <f>IF(+$E$5="NYC",VLOOKUP(V13,'Capacity Revenues'!$C13:$G35,2,FALSE),IF(+$E$5="Lower Hudson Valley",VLOOKUP(V13,'Capacity Revenues'!$C13:$G35,3,FALSE),IF(+$E$5="Long Island",VLOOKUP(V13,'Capacity Revenues'!$C13:$G35,4,FALSE),IF(+$E$5="Rest-of-State",VLOOKUP(V13,'Capacity Revenues'!$C13:$G35,5,FALSE),"ERROR"))))</f>
        <v>4.2728624854554109</v>
      </c>
      <c r="W14" s="230"/>
    </row>
    <row r="15" spans="1:23" ht="14.45" x14ac:dyDescent="0.35">
      <c r="B15" s="91"/>
      <c r="C15">
        <f t="shared" ref="C15:C34" si="0">1+C14</f>
        <v>2021</v>
      </c>
      <c r="D15" s="92">
        <v>21.401758057950339</v>
      </c>
      <c r="E15" s="92">
        <v>10.273858379452237</v>
      </c>
      <c r="F15" s="92">
        <v>4.681106853178961</v>
      </c>
      <c r="G15" s="92">
        <v>4.681106853178961</v>
      </c>
      <c r="H15" s="230"/>
      <c r="J15" s="91"/>
      <c r="K15">
        <f t="shared" ref="K15:K34" si="1">1+K14</f>
        <v>2021</v>
      </c>
      <c r="L15" s="92">
        <v>11.399929224655295</v>
      </c>
      <c r="M15" s="92">
        <v>2.0318702994181912</v>
      </c>
      <c r="N15" s="92">
        <v>1.4085340632057068</v>
      </c>
      <c r="O15" s="92">
        <v>1.4085340632057068</v>
      </c>
      <c r="P15" s="230"/>
      <c r="R15" s="91"/>
      <c r="S15" s="254" t="s">
        <v>195</v>
      </c>
      <c r="T15" s="253">
        <f>+E7</f>
        <v>0</v>
      </c>
      <c r="U15" s="253">
        <f>+E7</f>
        <v>0</v>
      </c>
      <c r="V15" s="253">
        <f>+E7</f>
        <v>0</v>
      </c>
      <c r="W15" s="230"/>
    </row>
    <row r="16" spans="1:23" ht="14.45" x14ac:dyDescent="0.35">
      <c r="B16" s="91"/>
      <c r="C16">
        <f t="shared" si="0"/>
        <v>2022</v>
      </c>
      <c r="D16" s="92">
        <v>22.527237420547682</v>
      </c>
      <c r="E16" s="92">
        <v>11.044565096288773</v>
      </c>
      <c r="F16" s="92">
        <v>4.5113466916606351</v>
      </c>
      <c r="G16" s="92">
        <v>4.5113466916606351</v>
      </c>
      <c r="H16" s="230"/>
      <c r="J16" s="91"/>
      <c r="K16">
        <f t="shared" si="1"/>
        <v>2022</v>
      </c>
      <c r="L16" s="92">
        <v>12.611071798126954</v>
      </c>
      <c r="M16" s="92">
        <v>2.8533146467531285</v>
      </c>
      <c r="N16" s="92">
        <v>1.2419246426824238</v>
      </c>
      <c r="O16" s="92">
        <v>1.2419246426824238</v>
      </c>
      <c r="P16" s="230"/>
      <c r="R16" s="91"/>
      <c r="S16" s="274" t="s">
        <v>214</v>
      </c>
      <c r="T16" s="275">
        <f>+T14*1000*T15*6</f>
        <v>0</v>
      </c>
      <c r="U16" s="275">
        <f>+U14*1000*U15*6</f>
        <v>0</v>
      </c>
      <c r="V16" s="275">
        <f>+V14*1000*V15*6</f>
        <v>0</v>
      </c>
      <c r="W16" s="230"/>
    </row>
    <row r="17" spans="2:23" ht="14.45" x14ac:dyDescent="0.35">
      <c r="B17" s="91"/>
      <c r="C17">
        <f t="shared" si="0"/>
        <v>2023</v>
      </c>
      <c r="D17" s="92">
        <v>23.31</v>
      </c>
      <c r="E17" s="92">
        <v>11.715884863277799</v>
      </c>
      <c r="F17" s="92">
        <v>4.2728624854554109</v>
      </c>
      <c r="G17" s="92">
        <v>4.2728624854554109</v>
      </c>
      <c r="H17" s="230"/>
      <c r="J17" s="91"/>
      <c r="K17">
        <f t="shared" si="1"/>
        <v>2023</v>
      </c>
      <c r="L17" s="92">
        <v>11.624838723296469</v>
      </c>
      <c r="M17" s="92">
        <v>2.448845135321374</v>
      </c>
      <c r="N17" s="92">
        <v>0.71152815890287791</v>
      </c>
      <c r="O17" s="92">
        <v>0.71152815890287791</v>
      </c>
      <c r="P17" s="230"/>
      <c r="R17" s="91"/>
      <c r="S17" s="4"/>
      <c r="T17" s="3"/>
      <c r="U17" s="3"/>
      <c r="V17" s="3"/>
      <c r="W17" s="230"/>
    </row>
    <row r="18" spans="2:23" ht="14.45" x14ac:dyDescent="0.35">
      <c r="B18" s="91"/>
      <c r="C18">
        <f t="shared" si="0"/>
        <v>2024</v>
      </c>
      <c r="D18" s="92">
        <v>23.31</v>
      </c>
      <c r="E18" s="92">
        <v>11.691173923176352</v>
      </c>
      <c r="F18" s="92">
        <v>3.5355360645944813</v>
      </c>
      <c r="G18" s="92">
        <v>3.5355360645944813</v>
      </c>
      <c r="H18" s="230"/>
      <c r="J18" s="91"/>
      <c r="K18">
        <f t="shared" si="1"/>
        <v>2024</v>
      </c>
      <c r="L18" s="92">
        <v>11.626070399631827</v>
      </c>
      <c r="M18" s="92">
        <v>2.4193155636630692</v>
      </c>
      <c r="N18" s="92">
        <v>0</v>
      </c>
      <c r="O18" s="92">
        <v>0</v>
      </c>
      <c r="P18" s="230"/>
      <c r="R18" s="91"/>
      <c r="S18" s="4" t="s">
        <v>213</v>
      </c>
      <c r="T18" s="3">
        <f>IF(+$E$5="NYC",VLOOKUP(T13,'Capacity Revenues'!$K13:$O35,2,FALSE),IF(+$E$5="Lower Hudson Valley",VLOOKUP(T13,'Capacity Revenues'!$K13:$O35,3,FALSE),IF(+$E$5="Long Island",VLOOKUP(T13,'Capacity Revenues'!$K13:$O35,4,FALSE),IF(+$E$5="Rest-of-State",VLOOKUP(T13,'Capacity Revenues'!$K13:$O35,5,FALSE),"ERROR"))))</f>
        <v>1.4085340632057068</v>
      </c>
      <c r="U18" s="3">
        <f>IF(+$E$5="NYC",VLOOKUP(U13,'Capacity Revenues'!$K13:$O35,2,FALSE),IF(+$E$5="Lower Hudson Valley",VLOOKUP(U13,'Capacity Revenues'!$K13:$O35,3,FALSE),IF(+$E$5="Long Island",VLOOKUP(U13,'Capacity Revenues'!$K13:$O35,4,FALSE),IF(+$E$5="Rest-of-State",VLOOKUP(U13,'Capacity Revenues'!$K13:$O35,5,FALSE),"ERROR"))))</f>
        <v>1.2419246426824238</v>
      </c>
      <c r="V18" s="3">
        <f>IF(+$E$5="NYC",VLOOKUP(V13,'Capacity Revenues'!$K13:$O35,2,FALSE),IF(+$E$5="Lower Hudson Valley",VLOOKUP(V13,'Capacity Revenues'!$K13:$O35,3,FALSE),IF(+$E$5="Long Island",VLOOKUP(V13,'Capacity Revenues'!$K13:$O35,4,FALSE),IF(+$E$5="Rest-of-State",VLOOKUP(V13,'Capacity Revenues'!$K13:$O35,5,FALSE),"ERROR"))))</f>
        <v>0.71152815890287791</v>
      </c>
      <c r="W18" s="230"/>
    </row>
    <row r="19" spans="2:23" ht="14.45" x14ac:dyDescent="0.35">
      <c r="B19" s="91"/>
      <c r="C19">
        <f t="shared" si="0"/>
        <v>2025</v>
      </c>
      <c r="D19" s="92">
        <v>23.31</v>
      </c>
      <c r="E19" s="92">
        <v>11.585461547707435</v>
      </c>
      <c r="F19" s="92">
        <v>3.1617987290017577</v>
      </c>
      <c r="G19" s="92">
        <v>3.1617987290017577</v>
      </c>
      <c r="H19" s="230"/>
      <c r="J19" s="91"/>
      <c r="K19">
        <f t="shared" si="1"/>
        <v>2025</v>
      </c>
      <c r="L19" s="92">
        <v>3.5558286740786116</v>
      </c>
      <c r="M19" s="92">
        <v>0</v>
      </c>
      <c r="N19" s="92">
        <v>0</v>
      </c>
      <c r="O19" s="92">
        <v>0</v>
      </c>
      <c r="P19" s="230"/>
      <c r="R19" s="91"/>
      <c r="S19" s="254" t="s">
        <v>195</v>
      </c>
      <c r="T19" s="253">
        <f>+E8</f>
        <v>0</v>
      </c>
      <c r="U19" s="253">
        <f>+E8</f>
        <v>0</v>
      </c>
      <c r="V19" s="253">
        <f>+E8</f>
        <v>0</v>
      </c>
      <c r="W19" s="230"/>
    </row>
    <row r="20" spans="2:23" ht="14.45" x14ac:dyDescent="0.35">
      <c r="B20" s="91"/>
      <c r="C20">
        <f t="shared" si="0"/>
        <v>2026</v>
      </c>
      <c r="D20" s="92">
        <v>23.31</v>
      </c>
      <c r="E20" s="92">
        <v>11.623534167441608</v>
      </c>
      <c r="F20" s="92">
        <v>2.9208681278204844</v>
      </c>
      <c r="G20" s="92">
        <v>2.9208681278204844</v>
      </c>
      <c r="H20" s="230"/>
      <c r="J20" s="91"/>
      <c r="K20">
        <f t="shared" si="1"/>
        <v>2026</v>
      </c>
      <c r="L20" s="92">
        <v>3.5975030013744629</v>
      </c>
      <c r="M20" s="92">
        <v>0</v>
      </c>
      <c r="N20" s="92">
        <v>0</v>
      </c>
      <c r="O20" s="92">
        <v>0</v>
      </c>
      <c r="P20" s="230"/>
      <c r="R20" s="91"/>
      <c r="S20" s="274" t="s">
        <v>214</v>
      </c>
      <c r="T20" s="275">
        <f>+T18*1000*T19*6</f>
        <v>0</v>
      </c>
      <c r="U20" s="275">
        <f>+U18*1000*U19*6</f>
        <v>0</v>
      </c>
      <c r="V20" s="275">
        <f>+V18*1000*V19*6</f>
        <v>0</v>
      </c>
      <c r="W20" s="230"/>
    </row>
    <row r="21" spans="2:23" ht="14.45" x14ac:dyDescent="0.35">
      <c r="B21" s="91"/>
      <c r="C21">
        <f t="shared" si="0"/>
        <v>2027</v>
      </c>
      <c r="D21" s="92">
        <v>23.31</v>
      </c>
      <c r="E21" s="92">
        <v>11.669813895381075</v>
      </c>
      <c r="F21" s="92">
        <v>2.8116360075335693</v>
      </c>
      <c r="G21" s="92">
        <v>2.8116360075335693</v>
      </c>
      <c r="H21" s="230"/>
      <c r="J21" s="91"/>
      <c r="K21">
        <f t="shared" si="1"/>
        <v>2027</v>
      </c>
      <c r="L21" s="92">
        <v>3.6394904725255977</v>
      </c>
      <c r="M21" s="92">
        <v>0</v>
      </c>
      <c r="N21" s="92">
        <v>0</v>
      </c>
      <c r="O21" s="92">
        <v>0</v>
      </c>
      <c r="P21" s="230"/>
      <c r="R21" s="91"/>
      <c r="S21" s="254"/>
      <c r="T21" s="3"/>
      <c r="U21" s="3"/>
      <c r="V21" s="3"/>
      <c r="W21" s="230"/>
    </row>
    <row r="22" spans="2:23" thickBot="1" x14ac:dyDescent="0.4">
      <c r="B22" s="91"/>
      <c r="C22">
        <f t="shared" si="0"/>
        <v>2028</v>
      </c>
      <c r="D22" s="92">
        <v>23.31</v>
      </c>
      <c r="E22" s="92">
        <v>11.761233447823292</v>
      </c>
      <c r="F22" s="92">
        <v>2.9012442037270958</v>
      </c>
      <c r="G22" s="92">
        <v>2.9012442037270958</v>
      </c>
      <c r="H22" s="230"/>
      <c r="J22" s="91"/>
      <c r="K22">
        <f t="shared" si="1"/>
        <v>2028</v>
      </c>
      <c r="L22" s="92">
        <v>3.6967238735810106</v>
      </c>
      <c r="M22" s="92">
        <v>0</v>
      </c>
      <c r="N22" s="92">
        <v>0</v>
      </c>
      <c r="O22" s="92">
        <v>0</v>
      </c>
      <c r="P22" s="230"/>
      <c r="R22" s="264"/>
      <c r="S22" s="262" t="s">
        <v>197</v>
      </c>
      <c r="T22" s="263">
        <f>+T16+T20</f>
        <v>0</v>
      </c>
      <c r="U22" s="263">
        <f>+U16+U20</f>
        <v>0</v>
      </c>
      <c r="V22" s="263">
        <f>+V16+V20</f>
        <v>0</v>
      </c>
      <c r="W22" s="230"/>
    </row>
    <row r="23" spans="2:23" ht="15.6" thickTop="1" thickBot="1" x14ac:dyDescent="0.4">
      <c r="B23" s="91"/>
      <c r="C23">
        <f t="shared" si="0"/>
        <v>2029</v>
      </c>
      <c r="D23" s="92">
        <v>23.31</v>
      </c>
      <c r="E23" s="92">
        <v>11.896046914351125</v>
      </c>
      <c r="F23" s="92">
        <v>3.0507927353847908</v>
      </c>
      <c r="G23" s="92">
        <v>3.0507927353847908</v>
      </c>
      <c r="H23" s="230"/>
      <c r="J23" s="91"/>
      <c r="K23">
        <f t="shared" si="1"/>
        <v>2029</v>
      </c>
      <c r="L23" s="92">
        <v>3.7594868910912496</v>
      </c>
      <c r="M23" s="92">
        <v>0</v>
      </c>
      <c r="N23" s="92">
        <v>0</v>
      </c>
      <c r="O23" s="92">
        <v>0</v>
      </c>
      <c r="P23" s="230"/>
      <c r="R23" s="93"/>
      <c r="S23" s="94"/>
      <c r="T23" s="94"/>
      <c r="U23" s="94"/>
      <c r="V23" s="94"/>
      <c r="W23" s="95"/>
    </row>
    <row r="24" spans="2:23" ht="14.45" x14ac:dyDescent="0.35">
      <c r="B24" s="91"/>
      <c r="C24">
        <f t="shared" si="0"/>
        <v>2030</v>
      </c>
      <c r="D24" s="92">
        <v>23.31</v>
      </c>
      <c r="E24" s="92">
        <v>12.051556272579358</v>
      </c>
      <c r="F24" s="92">
        <v>3.2554685717266363</v>
      </c>
      <c r="G24" s="92">
        <v>3.2554685717266363</v>
      </c>
      <c r="H24" s="230"/>
      <c r="J24" s="91"/>
      <c r="K24">
        <f t="shared" si="1"/>
        <v>2030</v>
      </c>
      <c r="L24" s="92">
        <v>3.8206235192012912</v>
      </c>
      <c r="M24" s="92">
        <v>0</v>
      </c>
      <c r="N24" s="92">
        <v>0</v>
      </c>
      <c r="O24" s="92">
        <v>0</v>
      </c>
      <c r="P24" s="230"/>
      <c r="T24" s="253"/>
      <c r="U24" s="253"/>
      <c r="V24" s="253"/>
    </row>
    <row r="25" spans="2:23" ht="14.45" x14ac:dyDescent="0.35">
      <c r="B25" s="91"/>
      <c r="C25">
        <f t="shared" si="0"/>
        <v>2031</v>
      </c>
      <c r="D25" s="92">
        <v>23.31</v>
      </c>
      <c r="E25" s="92">
        <v>12.265903249630735</v>
      </c>
      <c r="F25" s="92">
        <v>3.5454929030387436</v>
      </c>
      <c r="G25" s="92">
        <v>3.5454929030387436</v>
      </c>
      <c r="H25" s="230"/>
      <c r="J25" s="91"/>
      <c r="K25">
        <f t="shared" si="1"/>
        <v>2031</v>
      </c>
      <c r="L25" s="92">
        <v>3.8978175910073922</v>
      </c>
      <c r="M25" s="92">
        <v>0</v>
      </c>
      <c r="N25" s="92">
        <v>0</v>
      </c>
      <c r="O25" s="92">
        <v>0</v>
      </c>
      <c r="P25" s="230"/>
      <c r="T25" s="253"/>
    </row>
    <row r="26" spans="2:23" ht="14.45" x14ac:dyDescent="0.35">
      <c r="B26" s="91"/>
      <c r="C26">
        <f t="shared" si="0"/>
        <v>2032</v>
      </c>
      <c r="D26" s="92">
        <v>23.31</v>
      </c>
      <c r="E26" s="92">
        <v>12.532844655916831</v>
      </c>
      <c r="F26" s="92">
        <v>3.911957897396408</v>
      </c>
      <c r="G26" s="92">
        <v>3.911957897396408</v>
      </c>
      <c r="H26" s="230"/>
      <c r="J26" s="91"/>
      <c r="K26">
        <f t="shared" si="1"/>
        <v>2032</v>
      </c>
      <c r="L26" s="92">
        <v>3.9775589702991141</v>
      </c>
      <c r="M26" s="92">
        <v>0</v>
      </c>
      <c r="N26" s="92">
        <v>0</v>
      </c>
      <c r="O26" s="92">
        <v>0</v>
      </c>
      <c r="P26" s="230"/>
    </row>
    <row r="27" spans="2:23" ht="14.45" x14ac:dyDescent="0.35">
      <c r="B27" s="91"/>
      <c r="C27">
        <f t="shared" si="0"/>
        <v>2033</v>
      </c>
      <c r="D27" s="92">
        <v>23.31</v>
      </c>
      <c r="E27" s="92">
        <v>12.77015945716709</v>
      </c>
      <c r="F27" s="92">
        <v>4.2301688912458495</v>
      </c>
      <c r="G27" s="92">
        <v>4.2301688912458495</v>
      </c>
      <c r="H27" s="230"/>
      <c r="J27" s="91"/>
      <c r="K27">
        <f t="shared" si="1"/>
        <v>2033</v>
      </c>
      <c r="L27" s="92">
        <v>4.0355304510745</v>
      </c>
      <c r="M27" s="92">
        <v>0</v>
      </c>
      <c r="N27" s="92">
        <v>0</v>
      </c>
      <c r="O27" s="92">
        <v>0</v>
      </c>
      <c r="P27" s="230"/>
    </row>
    <row r="28" spans="2:23" ht="14.45" x14ac:dyDescent="0.35">
      <c r="B28" s="91"/>
      <c r="C28">
        <f t="shared" si="0"/>
        <v>2034</v>
      </c>
      <c r="D28" s="92">
        <v>23.31</v>
      </c>
      <c r="E28" s="92">
        <v>13.014355047619045</v>
      </c>
      <c r="F28" s="92">
        <v>4.6076884502686219</v>
      </c>
      <c r="G28" s="92">
        <v>4.6076884502686219</v>
      </c>
      <c r="H28" s="230"/>
      <c r="J28" s="91"/>
      <c r="K28">
        <f t="shared" si="1"/>
        <v>2034</v>
      </c>
      <c r="L28" s="92">
        <v>4.095896923316527</v>
      </c>
      <c r="M28" s="92">
        <v>0</v>
      </c>
      <c r="N28" s="92">
        <v>0</v>
      </c>
      <c r="O28" s="92">
        <v>0</v>
      </c>
      <c r="P28" s="230"/>
    </row>
    <row r="29" spans="2:23" ht="14.45" x14ac:dyDescent="0.35">
      <c r="B29" s="91"/>
      <c r="C29">
        <f t="shared" si="0"/>
        <v>2035</v>
      </c>
      <c r="D29" s="92">
        <v>23.31</v>
      </c>
      <c r="E29" s="92">
        <v>13.291648755783601</v>
      </c>
      <c r="F29" s="92">
        <v>5.0478672891684013</v>
      </c>
      <c r="G29" s="92">
        <v>5.0478672891684013</v>
      </c>
      <c r="H29" s="230"/>
      <c r="J29" s="91"/>
      <c r="K29">
        <f t="shared" si="1"/>
        <v>2035</v>
      </c>
      <c r="L29" s="92">
        <v>4.1642345582574833</v>
      </c>
      <c r="M29" s="92">
        <v>2.9542045432817687E-2</v>
      </c>
      <c r="N29" s="92">
        <v>2.9542045432817687E-2</v>
      </c>
      <c r="O29" s="92">
        <v>2.9542045432817687E-2</v>
      </c>
      <c r="P29" s="230"/>
    </row>
    <row r="30" spans="2:23" ht="14.45" x14ac:dyDescent="0.35">
      <c r="B30" s="91"/>
      <c r="C30">
        <f t="shared" si="0"/>
        <v>2036</v>
      </c>
      <c r="D30" s="92">
        <v>23.31</v>
      </c>
      <c r="E30" s="92">
        <v>13.559887402144602</v>
      </c>
      <c r="F30" s="92">
        <v>5.5617982735165645</v>
      </c>
      <c r="G30" s="92">
        <v>5.5617982735165645</v>
      </c>
      <c r="H30" s="230"/>
      <c r="J30" s="91"/>
      <c r="K30">
        <f t="shared" si="1"/>
        <v>2036</v>
      </c>
      <c r="L30" s="92">
        <v>4.2258011356208058</v>
      </c>
      <c r="M30" s="92">
        <v>0.5643566627243537</v>
      </c>
      <c r="N30" s="92">
        <v>0.5643566627243537</v>
      </c>
      <c r="O30" s="92">
        <v>0.5643566627243537</v>
      </c>
      <c r="P30" s="230"/>
    </row>
    <row r="31" spans="2:23" ht="14.45" x14ac:dyDescent="0.35">
      <c r="B31" s="91"/>
      <c r="C31">
        <f t="shared" si="0"/>
        <v>2037</v>
      </c>
      <c r="D31" s="92">
        <v>23.31</v>
      </c>
      <c r="E31" s="92">
        <v>13.805884185220034</v>
      </c>
      <c r="F31" s="92">
        <v>6.024950165988427</v>
      </c>
      <c r="G31" s="92">
        <v>6.024950165988427</v>
      </c>
      <c r="H31" s="230"/>
      <c r="J31" s="91"/>
      <c r="K31">
        <f t="shared" si="1"/>
        <v>2037</v>
      </c>
      <c r="L31" s="92">
        <v>4.281500383387904</v>
      </c>
      <c r="M31" s="92">
        <v>1.0463020250162085</v>
      </c>
      <c r="N31" s="92">
        <v>1.0463020250162085</v>
      </c>
      <c r="O31" s="92">
        <v>1.0463020250162085</v>
      </c>
      <c r="P31" s="230"/>
    </row>
    <row r="32" spans="2:23" ht="14.45" x14ac:dyDescent="0.35">
      <c r="B32" s="91"/>
      <c r="C32">
        <f t="shared" si="0"/>
        <v>2038</v>
      </c>
      <c r="D32" s="92">
        <v>23.31</v>
      </c>
      <c r="E32" s="92">
        <v>14.057020072187161</v>
      </c>
      <c r="F32" s="92">
        <v>6.4966202220898239</v>
      </c>
      <c r="G32" s="92">
        <v>6.4966202220898239</v>
      </c>
      <c r="H32" s="230"/>
      <c r="J32" s="91"/>
      <c r="K32">
        <f t="shared" si="1"/>
        <v>2038</v>
      </c>
      <c r="L32" s="92">
        <v>4.3291349994457953</v>
      </c>
      <c r="M32" s="92">
        <v>1.5380750988453311</v>
      </c>
      <c r="N32" s="92">
        <v>1.5380750988453311</v>
      </c>
      <c r="O32" s="92">
        <v>1.5380750988453311</v>
      </c>
      <c r="P32" s="230"/>
    </row>
    <row r="33" spans="1:16" ht="14.45" x14ac:dyDescent="0.35">
      <c r="B33" s="91"/>
      <c r="C33">
        <f t="shared" si="0"/>
        <v>2039</v>
      </c>
      <c r="D33" s="92">
        <v>23.31</v>
      </c>
      <c r="E33" s="92">
        <v>14.280256847214972</v>
      </c>
      <c r="F33" s="92">
        <v>6.9554876378911441</v>
      </c>
      <c r="G33" s="92">
        <v>6.9554876378911441</v>
      </c>
      <c r="H33" s="230"/>
      <c r="J33" s="91"/>
      <c r="K33">
        <f t="shared" si="1"/>
        <v>2039</v>
      </c>
      <c r="L33" s="92">
        <v>4.3713889548479017</v>
      </c>
      <c r="M33" s="92">
        <v>2.0169414925559881</v>
      </c>
      <c r="N33" s="92">
        <v>2.0169414925559881</v>
      </c>
      <c r="O33" s="92">
        <v>2.0169414925559881</v>
      </c>
      <c r="P33" s="230"/>
    </row>
    <row r="34" spans="1:16" x14ac:dyDescent="0.25">
      <c r="B34" s="91"/>
      <c r="C34">
        <f t="shared" si="0"/>
        <v>2040</v>
      </c>
      <c r="D34" s="92">
        <v>23.31</v>
      </c>
      <c r="E34" s="92">
        <v>14.450527440005155</v>
      </c>
      <c r="F34" s="92">
        <v>7.2451122253779445</v>
      </c>
      <c r="G34" s="92">
        <v>7.2451122253779445</v>
      </c>
      <c r="H34" s="230"/>
      <c r="J34" s="91"/>
      <c r="K34">
        <f t="shared" si="1"/>
        <v>2040</v>
      </c>
      <c r="L34" s="92">
        <v>4.3923428281666972</v>
      </c>
      <c r="M34" s="92">
        <v>2.3198041061033781</v>
      </c>
      <c r="N34" s="92">
        <v>2.3198041061033781</v>
      </c>
      <c r="O34" s="92">
        <v>2.3198041061033781</v>
      </c>
      <c r="P34" s="230"/>
    </row>
    <row r="35" spans="1:16" ht="15.75" thickBot="1" x14ac:dyDescent="0.3">
      <c r="B35" s="93"/>
      <c r="C35" s="94">
        <v>2038</v>
      </c>
      <c r="D35" s="273">
        <v>16.420000000000002</v>
      </c>
      <c r="E35" s="273">
        <v>16.420000000000002</v>
      </c>
      <c r="F35" s="273">
        <v>9.6300000000000008</v>
      </c>
      <c r="G35" s="273">
        <v>5.0599999999999996</v>
      </c>
      <c r="H35" s="95"/>
      <c r="J35" s="93"/>
      <c r="K35" s="94">
        <v>2038</v>
      </c>
      <c r="L35" s="261">
        <v>9.26</v>
      </c>
      <c r="M35" s="261">
        <v>9.26</v>
      </c>
      <c r="N35" s="261">
        <v>3.11</v>
      </c>
      <c r="O35" s="261">
        <v>1.92</v>
      </c>
      <c r="P35" s="95"/>
    </row>
    <row r="37" spans="1:16" x14ac:dyDescent="0.25">
      <c r="A37" t="s">
        <v>256</v>
      </c>
    </row>
  </sheetData>
  <mergeCells count="6">
    <mergeCell ref="C12:G12"/>
    <mergeCell ref="E1:G1"/>
    <mergeCell ref="E3:G3"/>
    <mergeCell ref="B10:H10"/>
    <mergeCell ref="J10:P10"/>
    <mergeCell ref="K12:O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General Data Sheet</vt:lpstr>
      <vt:lpstr>Pro forma</vt:lpstr>
      <vt:lpstr>Projected Capital Expenditures</vt:lpstr>
      <vt:lpstr>Generation</vt:lpstr>
      <vt:lpstr>LBMP</vt:lpstr>
      <vt:lpstr>Allocated Costs</vt:lpstr>
      <vt:lpstr>Award Cap Calculations</vt:lpstr>
      <vt:lpstr>Weighted Cost of Captial</vt:lpstr>
      <vt:lpstr>Capacity Revenues</vt:lpstr>
      <vt:lpstr>BCA Update-ICAP Price</vt:lpstr>
      <vt:lpstr>'Pro forma'!_ftnref1</vt:lpstr>
      <vt:lpstr>'General Data Sheet'!Print_Area</vt:lpstr>
      <vt:lpstr>Generation!Print_Area</vt:lpstr>
      <vt:lpstr>'Pro forma'!Print_Area</vt:lpstr>
      <vt:lpstr>'Projected Capital Expenditures'!Print_Area</vt:lpstr>
    </vt:vector>
  </TitlesOfParts>
  <Company>NYSDPS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m201ta</dc:creator>
  <cp:lastModifiedBy>Adrianne Bletz</cp:lastModifiedBy>
  <cp:lastPrinted>2017-09-15T17:22:16Z</cp:lastPrinted>
  <dcterms:created xsi:type="dcterms:W3CDTF">2017-04-05T19:43:53Z</dcterms:created>
  <dcterms:modified xsi:type="dcterms:W3CDTF">2023-02-08T14:13:07Z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{88D6E0ED-1960-4F54-BF6C-683E7CB2380A}</vt:lpwstr>
  </property>
</Properties>
</file>